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nce\Desktop\"/>
    </mc:Choice>
  </mc:AlternateContent>
  <bookViews>
    <workbookView xWindow="0" yWindow="0" windowWidth="11670" windowHeight="4635" activeTab="4"/>
  </bookViews>
  <sheets>
    <sheet name="data" sheetId="1" r:id="rId1"/>
    <sheet name="sales" sheetId="2" r:id="rId2"/>
    <sheet name="collection" sheetId="3" r:id="rId3"/>
    <sheet name="production" sheetId="4" r:id="rId4"/>
    <sheet name="purchase budget" sheetId="5" r:id="rId5"/>
    <sheet name="payment to ap" sheetId="6" r:id="rId6"/>
    <sheet name="labor budget" sheetId="7" r:id="rId7"/>
    <sheet name="cash budget" sheetId="8" r:id="rId8"/>
  </sheets>
  <calcPr calcId="152511"/>
</workbook>
</file>

<file path=xl/calcChain.xml><?xml version="1.0" encoding="utf-8"?>
<calcChain xmlns="http://schemas.openxmlformats.org/spreadsheetml/2006/main">
  <c r="F5" i="8" l="1"/>
  <c r="E5" i="8"/>
  <c r="D5" i="8"/>
  <c r="F16" i="8"/>
  <c r="E16" i="8"/>
  <c r="D16" i="8"/>
  <c r="C16" i="8"/>
  <c r="E46" i="7"/>
  <c r="F46" i="7" s="1"/>
  <c r="D46" i="7"/>
  <c r="D45" i="7"/>
  <c r="E45" i="7" s="1"/>
  <c r="F45" i="7" s="1"/>
  <c r="C47" i="7"/>
  <c r="D47" i="7" s="1"/>
  <c r="E47" i="7" s="1"/>
  <c r="F47" i="7" s="1"/>
  <c r="C46" i="7"/>
  <c r="C45" i="7"/>
  <c r="D36" i="7"/>
  <c r="E36" i="7" s="1"/>
  <c r="F36" i="7" s="1"/>
  <c r="C14" i="7"/>
  <c r="D14" i="7" s="1"/>
  <c r="E14" i="7" s="1"/>
  <c r="F14" i="7" s="1"/>
  <c r="C36" i="7"/>
  <c r="C25" i="7"/>
  <c r="D25" i="7" s="1"/>
  <c r="E25" i="7" s="1"/>
  <c r="F25" i="7" s="1"/>
  <c r="C13" i="7"/>
  <c r="D13" i="7" s="1"/>
  <c r="E13" i="7" s="1"/>
  <c r="C33" i="7"/>
  <c r="D33" i="7" s="1"/>
  <c r="E33" i="7" s="1"/>
  <c r="F33" i="7" s="1"/>
  <c r="C32" i="7"/>
  <c r="D32" i="7" s="1"/>
  <c r="E32" i="7" s="1"/>
  <c r="F32" i="7" s="1"/>
  <c r="C22" i="7"/>
  <c r="D22" i="7" s="1"/>
  <c r="E22" i="7" s="1"/>
  <c r="F22" i="7" s="1"/>
  <c r="C21" i="7"/>
  <c r="D21" i="7" s="1"/>
  <c r="E21" i="7" s="1"/>
  <c r="F21" i="7" s="1"/>
  <c r="C10" i="7"/>
  <c r="D10" i="7" s="1"/>
  <c r="E10" i="7" s="1"/>
  <c r="F10" i="7" s="1"/>
  <c r="C9" i="7"/>
  <c r="D9" i="7" s="1"/>
  <c r="E9" i="7" s="1"/>
  <c r="F9" i="7" s="1"/>
  <c r="C30" i="7"/>
  <c r="D30" i="7" s="1"/>
  <c r="E30" i="7" s="1"/>
  <c r="F30" i="7" s="1"/>
  <c r="C19" i="7"/>
  <c r="D19" i="7" s="1"/>
  <c r="E19" i="7" s="1"/>
  <c r="F19" i="7" s="1"/>
  <c r="C7" i="7"/>
  <c r="D7" i="7" s="1"/>
  <c r="E7" i="7" s="1"/>
  <c r="F7" i="7" s="1"/>
  <c r="C6" i="6"/>
  <c r="C21" i="4"/>
  <c r="C15" i="4"/>
  <c r="C9" i="4"/>
  <c r="D6" i="4"/>
  <c r="C8" i="3"/>
  <c r="C7" i="3"/>
  <c r="C5" i="2"/>
  <c r="D5" i="2" s="1"/>
  <c r="E5" i="2" s="1"/>
  <c r="F5" i="2" s="1"/>
  <c r="F7" i="2" s="1"/>
  <c r="F6" i="1"/>
  <c r="G6" i="1" s="1"/>
  <c r="F4" i="1"/>
  <c r="G4" i="1" s="1"/>
  <c r="H4" i="1" s="1"/>
  <c r="F6" i="4" s="1"/>
  <c r="E8" i="1"/>
  <c r="E6" i="1"/>
  <c r="C12" i="4" s="1"/>
  <c r="E4" i="1"/>
  <c r="C6" i="4" s="1"/>
  <c r="C11" i="2" l="1"/>
  <c r="D11" i="2" s="1"/>
  <c r="E11" i="2" s="1"/>
  <c r="F11" i="2" s="1"/>
  <c r="F13" i="2" s="1"/>
  <c r="C18" i="4"/>
  <c r="F8" i="4"/>
  <c r="F7" i="4"/>
  <c r="E6" i="4"/>
  <c r="C7" i="4"/>
  <c r="D9" i="4" s="1"/>
  <c r="H6" i="1"/>
  <c r="F12" i="4" s="1"/>
  <c r="E12" i="4"/>
  <c r="D7" i="4"/>
  <c r="E9" i="4" s="1"/>
  <c r="C14" i="4"/>
  <c r="C16" i="4" s="1"/>
  <c r="C10" i="5" s="1"/>
  <c r="C13" i="4"/>
  <c r="D15" i="4" s="1"/>
  <c r="F8" i="1"/>
  <c r="D12" i="4"/>
  <c r="C8" i="2"/>
  <c r="D8" i="2" s="1"/>
  <c r="E8" i="2" s="1"/>
  <c r="F8" i="2" s="1"/>
  <c r="F10" i="2" s="1"/>
  <c r="C26" i="7"/>
  <c r="F13" i="7"/>
  <c r="F14" i="2"/>
  <c r="D7" i="2"/>
  <c r="D13" i="2"/>
  <c r="C7" i="2"/>
  <c r="E7" i="2"/>
  <c r="E10" i="2"/>
  <c r="C13" i="2"/>
  <c r="E13" i="2"/>
  <c r="F5" i="3" l="1"/>
  <c r="F9" i="3"/>
  <c r="F13" i="4"/>
  <c r="F14" i="4" s="1"/>
  <c r="F16" i="4" s="1"/>
  <c r="F10" i="5" s="1"/>
  <c r="C19" i="4"/>
  <c r="D21" i="4" s="1"/>
  <c r="E13" i="4"/>
  <c r="F15" i="4" s="1"/>
  <c r="E14" i="4"/>
  <c r="C18" i="7"/>
  <c r="C12" i="5"/>
  <c r="E7" i="4"/>
  <c r="F9" i="4" s="1"/>
  <c r="F10" i="4" s="1"/>
  <c r="E8" i="4"/>
  <c r="E10" i="4" s="1"/>
  <c r="D18" i="4"/>
  <c r="D19" i="4" s="1"/>
  <c r="G8" i="1"/>
  <c r="C10" i="2"/>
  <c r="D10" i="2"/>
  <c r="D13" i="4"/>
  <c r="E15" i="4" s="1"/>
  <c r="D14" i="4"/>
  <c r="D16" i="4" s="1"/>
  <c r="D10" i="5" s="1"/>
  <c r="C8" i="4"/>
  <c r="C10" i="4" s="1"/>
  <c r="D8" i="4"/>
  <c r="D10" i="4" s="1"/>
  <c r="D26" i="7"/>
  <c r="E26" i="7" s="1"/>
  <c r="F26" i="7" s="1"/>
  <c r="C37" i="7"/>
  <c r="D37" i="7" s="1"/>
  <c r="E37" i="7" s="1"/>
  <c r="F37" i="7" s="1"/>
  <c r="E14" i="2"/>
  <c r="D14" i="2"/>
  <c r="C14" i="2"/>
  <c r="F18" i="7" l="1"/>
  <c r="F12" i="5"/>
  <c r="F6" i="7"/>
  <c r="F6" i="5"/>
  <c r="F8" i="5" s="1"/>
  <c r="D18" i="7"/>
  <c r="D12" i="5"/>
  <c r="D20" i="4"/>
  <c r="D22" i="4" s="1"/>
  <c r="E21" i="4"/>
  <c r="C20" i="7"/>
  <c r="C27" i="7"/>
  <c r="D6" i="7"/>
  <c r="D6" i="5"/>
  <c r="D8" i="5" s="1"/>
  <c r="E16" i="4"/>
  <c r="E10" i="5" s="1"/>
  <c r="H8" i="1"/>
  <c r="F18" i="4" s="1"/>
  <c r="F19" i="4" s="1"/>
  <c r="F20" i="4" s="1"/>
  <c r="E18" i="4"/>
  <c r="D10" i="3"/>
  <c r="C9" i="3"/>
  <c r="C5" i="3"/>
  <c r="C12" i="3" s="1"/>
  <c r="C6" i="8" s="1"/>
  <c r="C8" i="8" s="1"/>
  <c r="E11" i="3"/>
  <c r="C20" i="4"/>
  <c r="C22" i="4" s="1"/>
  <c r="E10" i="3"/>
  <c r="D9" i="3"/>
  <c r="F11" i="3"/>
  <c r="D5" i="3"/>
  <c r="E6" i="7"/>
  <c r="E6" i="5"/>
  <c r="E8" i="5" s="1"/>
  <c r="E5" i="3"/>
  <c r="E12" i="3" s="1"/>
  <c r="E6" i="8" s="1"/>
  <c r="E8" i="8" s="1"/>
  <c r="E9" i="3"/>
  <c r="F10" i="3"/>
  <c r="F12" i="3" s="1"/>
  <c r="F6" i="8" s="1"/>
  <c r="F8" i="8" s="1"/>
  <c r="C6" i="5"/>
  <c r="C8" i="5" s="1"/>
  <c r="C6" i="7"/>
  <c r="E19" i="4" l="1"/>
  <c r="F21" i="4" s="1"/>
  <c r="F22" i="4" s="1"/>
  <c r="C18" i="5"/>
  <c r="C5" i="6" s="1"/>
  <c r="D29" i="7"/>
  <c r="D14" i="5"/>
  <c r="D16" i="5" s="1"/>
  <c r="D18" i="5" s="1"/>
  <c r="D5" i="6" s="1"/>
  <c r="F8" i="7"/>
  <c r="F15" i="7"/>
  <c r="E8" i="7"/>
  <c r="E15" i="7"/>
  <c r="C8" i="7"/>
  <c r="C15" i="7"/>
  <c r="D15" i="7"/>
  <c r="D8" i="7"/>
  <c r="D12" i="3"/>
  <c r="D6" i="8" s="1"/>
  <c r="D8" i="8" s="1"/>
  <c r="C29" i="7"/>
  <c r="C14" i="5"/>
  <c r="C16" i="5" s="1"/>
  <c r="E18" i="7"/>
  <c r="E12" i="5"/>
  <c r="C23" i="7"/>
  <c r="C24" i="7"/>
  <c r="D20" i="7"/>
  <c r="D27" i="7"/>
  <c r="F20" i="7"/>
  <c r="F27" i="7"/>
  <c r="E8" i="6" l="1"/>
  <c r="D7" i="6"/>
  <c r="F29" i="7"/>
  <c r="F14" i="5"/>
  <c r="F16" i="5" s="1"/>
  <c r="F18" i="5" s="1"/>
  <c r="F5" i="6" s="1"/>
  <c r="F7" i="6" s="1"/>
  <c r="E20" i="7"/>
  <c r="E27" i="7"/>
  <c r="F11" i="7"/>
  <c r="F12" i="7"/>
  <c r="C12" i="7"/>
  <c r="C11" i="7"/>
  <c r="D23" i="7"/>
  <c r="D24" i="7"/>
  <c r="D8" i="6"/>
  <c r="C7" i="6"/>
  <c r="C9" i="6" s="1"/>
  <c r="C10" i="8" s="1"/>
  <c r="F23" i="7"/>
  <c r="F24" i="7"/>
  <c r="C31" i="7"/>
  <c r="C38" i="7"/>
  <c r="C42" i="7" s="1"/>
  <c r="D38" i="7"/>
  <c r="D42" i="7" s="1"/>
  <c r="D31" i="7"/>
  <c r="E20" i="4"/>
  <c r="E22" i="4" s="1"/>
  <c r="D12" i="7"/>
  <c r="D11" i="7"/>
  <c r="E11" i="7"/>
  <c r="E12" i="7"/>
  <c r="E29" i="7" l="1"/>
  <c r="E14" i="5"/>
  <c r="E16" i="5" s="1"/>
  <c r="E18" i="5" s="1"/>
  <c r="E5" i="6" s="1"/>
  <c r="F38" i="7"/>
  <c r="F42" i="7" s="1"/>
  <c r="F31" i="7"/>
  <c r="D35" i="7"/>
  <c r="D34" i="7"/>
  <c r="D40" i="7"/>
  <c r="D9" i="6"/>
  <c r="D10" i="8" s="1"/>
  <c r="C35" i="7"/>
  <c r="C41" i="7" s="1"/>
  <c r="C34" i="7"/>
  <c r="C40" i="7" s="1"/>
  <c r="D41" i="7"/>
  <c r="E24" i="7"/>
  <c r="E23" i="7"/>
  <c r="C48" i="7" l="1"/>
  <c r="C11" i="8" s="1"/>
  <c r="C43" i="7"/>
  <c r="C12" i="8" s="1"/>
  <c r="D48" i="7"/>
  <c r="D11" i="8" s="1"/>
  <c r="D19" i="8" s="1"/>
  <c r="D20" i="8" s="1"/>
  <c r="D21" i="8" s="1"/>
  <c r="D43" i="7"/>
  <c r="D12" i="8" s="1"/>
  <c r="E31" i="7"/>
  <c r="E38" i="7"/>
  <c r="E42" i="7" s="1"/>
  <c r="F35" i="7"/>
  <c r="F41" i="7" s="1"/>
  <c r="F34" i="7"/>
  <c r="F40" i="7" s="1"/>
  <c r="F8" i="6"/>
  <c r="F9" i="6" s="1"/>
  <c r="F10" i="8" s="1"/>
  <c r="E7" i="6"/>
  <c r="E9" i="6" s="1"/>
  <c r="E10" i="8" s="1"/>
  <c r="E34" i="7" l="1"/>
  <c r="E40" i="7" s="1"/>
  <c r="E35" i="7"/>
  <c r="E41" i="7" s="1"/>
  <c r="F48" i="7"/>
  <c r="F11" i="8" s="1"/>
  <c r="F19" i="8" s="1"/>
  <c r="F20" i="8" s="1"/>
  <c r="F21" i="8" s="1"/>
  <c r="F43" i="7"/>
  <c r="F12" i="8" s="1"/>
  <c r="C19" i="8"/>
  <c r="C20" i="8" s="1"/>
  <c r="C21" i="8" s="1"/>
  <c r="E43" i="7" l="1"/>
  <c r="E12" i="8" s="1"/>
  <c r="E48" i="7"/>
  <c r="E11" i="8" s="1"/>
  <c r="E19" i="8" s="1"/>
  <c r="E20" i="8" s="1"/>
  <c r="E22" i="8" l="1"/>
  <c r="E21" i="8" s="1"/>
</calcChain>
</file>

<file path=xl/sharedStrings.xml><?xml version="1.0" encoding="utf-8"?>
<sst xmlns="http://schemas.openxmlformats.org/spreadsheetml/2006/main" count="209" uniqueCount="111">
  <si>
    <t>Quarter 4</t>
  </si>
  <si>
    <t>Quarter 1</t>
  </si>
  <si>
    <t>Quarter 2</t>
  </si>
  <si>
    <t>Quarter 3</t>
  </si>
  <si>
    <t>Sales:</t>
  </si>
  <si>
    <t>Muffins</t>
  </si>
  <si>
    <t>Cookies</t>
  </si>
  <si>
    <t>Bread</t>
  </si>
  <si>
    <t>Muffins doz</t>
  </si>
  <si>
    <t>Cookies doz</t>
  </si>
  <si>
    <t>Selling price per doz</t>
  </si>
  <si>
    <t>Sales in dollars</t>
  </si>
  <si>
    <t>Total sales revenue</t>
  </si>
  <si>
    <t>Quarter days taken</t>
  </si>
  <si>
    <t>Finished goods inventory in days</t>
  </si>
  <si>
    <t>Quantity of 1 batch</t>
  </si>
  <si>
    <t xml:space="preserve">Packaging labor </t>
  </si>
  <si>
    <t>Direct labor hour packaging</t>
  </si>
  <si>
    <t>Direct labor hours per batch mixer</t>
  </si>
  <si>
    <t>Direct labor hours per batch baker</t>
  </si>
  <si>
    <t>baker</t>
  </si>
  <si>
    <t>mixer</t>
  </si>
  <si>
    <t>packer</t>
  </si>
  <si>
    <t>Direct labor rate per hour</t>
  </si>
  <si>
    <t>Direct material per doz</t>
  </si>
  <si>
    <t>Cash sales</t>
  </si>
  <si>
    <t>Credit sales</t>
  </si>
  <si>
    <t>Collection from AR</t>
  </si>
  <si>
    <t>30% within quarter</t>
  </si>
  <si>
    <t>45% next quarter</t>
  </si>
  <si>
    <t>25% second quarter</t>
  </si>
  <si>
    <t>Payment for AP</t>
  </si>
  <si>
    <t>85% in same quarter</t>
  </si>
  <si>
    <t>15% in next quarter</t>
  </si>
  <si>
    <t>Accounts Payable of 2014 4 quarter</t>
  </si>
  <si>
    <t>Variable OH per DLH</t>
  </si>
  <si>
    <t>Fixed OH per quarter</t>
  </si>
  <si>
    <t>Total OH recovered per DLH</t>
  </si>
  <si>
    <t>S&amp;A Expenses per quarter</t>
  </si>
  <si>
    <t>Mortgage plus interest instalment per quarter</t>
  </si>
  <si>
    <t>Annual rate of interest</t>
  </si>
  <si>
    <t>Mortgage amount</t>
  </si>
  <si>
    <t>16650+3350</t>
  </si>
  <si>
    <t>Corporate tax rate</t>
  </si>
  <si>
    <t>Tax payment each quarter</t>
  </si>
  <si>
    <t>16500/4</t>
  </si>
  <si>
    <t>Minimumcash balance</t>
  </si>
  <si>
    <t>Dividend each quarter</t>
  </si>
  <si>
    <t>Issue of 50000 common stock in 3 quarter</t>
  </si>
  <si>
    <t>Purchase of PPE 1 quarter</t>
  </si>
  <si>
    <t>Purchase of PPE 2 quarter</t>
  </si>
  <si>
    <t>Purchase of PPE 3 quarter</t>
  </si>
  <si>
    <t>Purchase of PPE 4 quarter</t>
  </si>
  <si>
    <t>Avaolable line of credit 1 million interest rate</t>
  </si>
  <si>
    <t>to be accumulated</t>
  </si>
  <si>
    <t xml:space="preserve">Bread doz </t>
  </si>
  <si>
    <t>Cash collection Budget</t>
  </si>
  <si>
    <t>Cash Sales</t>
  </si>
  <si>
    <t>For 2014 3 quarter</t>
  </si>
  <si>
    <t>For 2014  4 quarter</t>
  </si>
  <si>
    <t>Same quarter</t>
  </si>
  <si>
    <t>Next quarter</t>
  </si>
  <si>
    <t>After one quarter</t>
  </si>
  <si>
    <t>Total cash collection</t>
  </si>
  <si>
    <t>Sales</t>
  </si>
  <si>
    <t>Desired ending inventory</t>
  </si>
  <si>
    <t>Total required doz</t>
  </si>
  <si>
    <t>Beginning inventory</t>
  </si>
  <si>
    <t>Budgeted production doz</t>
  </si>
  <si>
    <t>Production Budget</t>
  </si>
  <si>
    <t>Purchase Budget</t>
  </si>
  <si>
    <t>Budgeted production</t>
  </si>
  <si>
    <t>Direct material cost per doz</t>
  </si>
  <si>
    <t>Purchase in dollars</t>
  </si>
  <si>
    <t>Total material purchases</t>
  </si>
  <si>
    <t>Payment to AP</t>
  </si>
  <si>
    <t>Direct material purchases</t>
  </si>
  <si>
    <t>For 2014  4 quartet</t>
  </si>
  <si>
    <t>In same quarter</t>
  </si>
  <si>
    <t>in next quarter</t>
  </si>
  <si>
    <t>Total payment to AP</t>
  </si>
  <si>
    <t>Direct Labor Budget</t>
  </si>
  <si>
    <t>No. of batches</t>
  </si>
  <si>
    <t>Total mixer hours</t>
  </si>
  <si>
    <t>Total baker hours</t>
  </si>
  <si>
    <t>Total packaging hours</t>
  </si>
  <si>
    <t>Total packer hours</t>
  </si>
  <si>
    <t>Total DLH</t>
  </si>
  <si>
    <t>Wage rates per hour</t>
  </si>
  <si>
    <t>Mixer</t>
  </si>
  <si>
    <t>Baker</t>
  </si>
  <si>
    <t>Packer</t>
  </si>
  <si>
    <t>Total Direct wages</t>
  </si>
  <si>
    <t>Cash Budget</t>
  </si>
  <si>
    <t>Beginning Cash balance</t>
  </si>
  <si>
    <t>Cash collection from cash sales and AR</t>
  </si>
  <si>
    <t>Total available cash</t>
  </si>
  <si>
    <t>Disbursements:</t>
  </si>
  <si>
    <t>Payment for purchases</t>
  </si>
  <si>
    <t>Direct labor</t>
  </si>
  <si>
    <t>Variable OH</t>
  </si>
  <si>
    <t>Fixed OH</t>
  </si>
  <si>
    <t>Selling and Administrative Expenses</t>
  </si>
  <si>
    <t>Dividend</t>
  </si>
  <si>
    <t>Issue of common stock</t>
  </si>
  <si>
    <t>Purchase of equipment</t>
  </si>
  <si>
    <t>Total disbursements</t>
  </si>
  <si>
    <t>Cash surplus/ (shortage)</t>
  </si>
  <si>
    <t>Line of credit taken (repaid)</t>
  </si>
  <si>
    <t>Interest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</si>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</sst>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8" fontId="0" fillId="0" borderId="0" xfId="0" applyNumberFormat="1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9" fontId="0" fillId="0" borderId="0" xfId="0" applyNumberFormat="1"/>
    <xf numFmtId="0" fontId="1" fillId="0" borderId="0" xfId="0" applyFont="1" applyAlignment="1">
      <alignment horizontal="right"/>
    </xf>
    <xf numFmtId="1" fontId="0" fillId="0" borderId="0" xfId="0" applyNumberFormat="1"/>
    <xf numFmtId="2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/>
    </xf>
    <xf numFmtId="6" fontId="1" fillId="2" borderId="0" xfId="0" applyNumberFormat="1" applyFont="1" applyFill="1"/>
    <xf numFmtId="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topLeftCell="A31" workbookViewId="0">
      <selection activeCell="B44" sqref="B44"/>
    </sheetView>
  </sheetViews>
  <sheetFormatPr defaultRowHeight="15" x14ac:dyDescent="0.25"/>
  <cols>
    <col min="2" max="2" width="41.25" customWidth="1"/>
    <col min="3" max="3" width="17.625" customWidth="1"/>
    <col min="4" max="12" width="15.25" customWidth="1"/>
  </cols>
  <sheetData>
    <row r="1" spans="2:8" x14ac:dyDescent="0.25">
      <c r="D1">
        <v>2014</v>
      </c>
      <c r="E1">
        <v>2015</v>
      </c>
    </row>
    <row r="2" spans="2:8" x14ac:dyDescent="0.25">
      <c r="C2" t="s">
        <v>3</v>
      </c>
      <c r="D2" t="s">
        <v>0</v>
      </c>
      <c r="E2" t="s">
        <v>1</v>
      </c>
      <c r="F2" t="s">
        <v>2</v>
      </c>
      <c r="G2" t="s">
        <v>3</v>
      </c>
      <c r="H2" t="s">
        <v>0</v>
      </c>
    </row>
    <row r="3" spans="2:8" x14ac:dyDescent="0.25">
      <c r="B3" t="s">
        <v>4</v>
      </c>
    </row>
    <row r="4" spans="2:8" x14ac:dyDescent="0.25">
      <c r="B4" t="s">
        <v>8</v>
      </c>
      <c r="D4">
        <v>45000</v>
      </c>
      <c r="E4">
        <f>D4*80%</f>
        <v>36000</v>
      </c>
      <c r="F4">
        <f>E4*1.05</f>
        <v>37800</v>
      </c>
      <c r="G4">
        <f>F4*1.05</f>
        <v>39690</v>
      </c>
      <c r="H4">
        <f>G4*1.2</f>
        <v>47628</v>
      </c>
    </row>
    <row r="5" spans="2:8" x14ac:dyDescent="0.25">
      <c r="B5" t="s">
        <v>10</v>
      </c>
      <c r="D5" s="1">
        <v>5.5</v>
      </c>
      <c r="E5" s="2">
        <v>6</v>
      </c>
      <c r="F5" s="2">
        <v>6</v>
      </c>
      <c r="G5" s="2">
        <v>6</v>
      </c>
      <c r="H5" s="2">
        <v>6</v>
      </c>
    </row>
    <row r="6" spans="2:8" x14ac:dyDescent="0.25">
      <c r="B6" t="s">
        <v>9</v>
      </c>
      <c r="D6">
        <v>65000</v>
      </c>
      <c r="E6">
        <f>D6*80%</f>
        <v>52000</v>
      </c>
      <c r="F6">
        <f>E6*1.05</f>
        <v>54600</v>
      </c>
      <c r="G6">
        <f>F6*1.05</f>
        <v>57330</v>
      </c>
      <c r="H6">
        <f>G6*1.2</f>
        <v>68796</v>
      </c>
    </row>
    <row r="7" spans="2:8" x14ac:dyDescent="0.25">
      <c r="B7" t="s">
        <v>10</v>
      </c>
      <c r="D7" s="1">
        <v>4.75</v>
      </c>
      <c r="E7" s="1">
        <v>5.25</v>
      </c>
      <c r="F7" s="1">
        <v>5.25</v>
      </c>
      <c r="G7" s="1">
        <v>5.25</v>
      </c>
      <c r="H7" s="1">
        <v>5.25</v>
      </c>
    </row>
    <row r="8" spans="2:8" x14ac:dyDescent="0.25">
      <c r="B8" t="s">
        <v>55</v>
      </c>
      <c r="D8">
        <v>85000</v>
      </c>
      <c r="E8">
        <f>D8*80%</f>
        <v>68000</v>
      </c>
      <c r="F8">
        <f>E8*1.05</f>
        <v>71400</v>
      </c>
      <c r="G8">
        <f>F8*1.05</f>
        <v>74970</v>
      </c>
      <c r="H8">
        <f>G8*1.2</f>
        <v>89964</v>
      </c>
    </row>
    <row r="9" spans="2:8" x14ac:dyDescent="0.25">
      <c r="B9" t="s">
        <v>10</v>
      </c>
      <c r="D9" s="1">
        <v>5.25</v>
      </c>
      <c r="E9" s="1">
        <v>5.75</v>
      </c>
      <c r="F9" s="1">
        <v>5.75</v>
      </c>
      <c r="G9" s="1">
        <v>5.75</v>
      </c>
      <c r="H9" s="1">
        <v>5.75</v>
      </c>
    </row>
    <row r="10" spans="2:8" x14ac:dyDescent="0.25">
      <c r="B10" t="s">
        <v>25</v>
      </c>
      <c r="D10" s="5">
        <v>0.1</v>
      </c>
      <c r="E10" s="1"/>
      <c r="F10" s="1"/>
      <c r="G10" s="1"/>
      <c r="H10" s="1"/>
    </row>
    <row r="11" spans="2:8" x14ac:dyDescent="0.25">
      <c r="B11" t="s">
        <v>26</v>
      </c>
      <c r="D11" s="5">
        <v>0.9</v>
      </c>
      <c r="E11" s="1"/>
      <c r="F11" s="1"/>
      <c r="G11" s="1"/>
      <c r="H11" s="1"/>
    </row>
    <row r="12" spans="2:8" x14ac:dyDescent="0.25">
      <c r="B12" t="s">
        <v>27</v>
      </c>
      <c r="D12" s="1"/>
      <c r="E12" s="1"/>
      <c r="F12" s="1"/>
      <c r="G12" s="1"/>
      <c r="H12" s="1"/>
    </row>
    <row r="13" spans="2:8" x14ac:dyDescent="0.25">
      <c r="B13" t="s">
        <v>28</v>
      </c>
      <c r="D13" s="1"/>
      <c r="E13" s="1"/>
      <c r="F13" s="1"/>
      <c r="G13" s="1"/>
      <c r="H13" s="1"/>
    </row>
    <row r="14" spans="2:8" x14ac:dyDescent="0.25">
      <c r="B14" t="s">
        <v>29</v>
      </c>
      <c r="D14" s="1"/>
      <c r="E14" s="1"/>
      <c r="F14" s="1"/>
      <c r="G14" s="1"/>
      <c r="H14" s="1"/>
    </row>
    <row r="15" spans="2:8" x14ac:dyDescent="0.25">
      <c r="B15" t="s">
        <v>30</v>
      </c>
    </row>
    <row r="16" spans="2:8" x14ac:dyDescent="0.25">
      <c r="B16" t="s">
        <v>11</v>
      </c>
      <c r="C16">
        <v>802000</v>
      </c>
      <c r="D16">
        <v>1002500</v>
      </c>
    </row>
    <row r="18" spans="2:6" x14ac:dyDescent="0.25">
      <c r="B18" t="s">
        <v>13</v>
      </c>
      <c r="D18" s="9">
        <v>90</v>
      </c>
    </row>
    <row r="19" spans="2:6" x14ac:dyDescent="0.25">
      <c r="B19" t="s">
        <v>14</v>
      </c>
      <c r="D19">
        <v>2</v>
      </c>
    </row>
    <row r="20" spans="2:6" x14ac:dyDescent="0.25">
      <c r="D20" t="s">
        <v>5</v>
      </c>
      <c r="E20" t="s">
        <v>6</v>
      </c>
      <c r="F20" t="s">
        <v>7</v>
      </c>
    </row>
    <row r="21" spans="2:6" x14ac:dyDescent="0.25">
      <c r="B21" t="s">
        <v>15</v>
      </c>
      <c r="D21">
        <v>8</v>
      </c>
      <c r="E21">
        <v>12</v>
      </c>
      <c r="F21">
        <v>4</v>
      </c>
    </row>
    <row r="22" spans="2:6" x14ac:dyDescent="0.25">
      <c r="B22" t="s">
        <v>18</v>
      </c>
      <c r="D22">
        <v>0.5</v>
      </c>
      <c r="E22">
        <v>0.5</v>
      </c>
      <c r="F22">
        <v>0.5</v>
      </c>
    </row>
    <row r="23" spans="2:6" x14ac:dyDescent="0.25">
      <c r="B23" t="s">
        <v>19</v>
      </c>
      <c r="D23">
        <v>0.25</v>
      </c>
      <c r="E23">
        <v>0.25</v>
      </c>
      <c r="F23">
        <v>0.25</v>
      </c>
    </row>
    <row r="24" spans="2:6" x14ac:dyDescent="0.25">
      <c r="B24" t="s">
        <v>16</v>
      </c>
      <c r="D24">
        <v>1</v>
      </c>
      <c r="E24">
        <v>2</v>
      </c>
      <c r="F24">
        <v>8</v>
      </c>
    </row>
    <row r="25" spans="2:6" x14ac:dyDescent="0.25">
      <c r="B25" t="s">
        <v>17</v>
      </c>
      <c r="D25">
        <v>0.25</v>
      </c>
      <c r="E25">
        <v>0.25</v>
      </c>
      <c r="F25">
        <v>0.25</v>
      </c>
    </row>
    <row r="26" spans="2:6" x14ac:dyDescent="0.25">
      <c r="B26" t="s">
        <v>23</v>
      </c>
    </row>
    <row r="27" spans="2:6" x14ac:dyDescent="0.25">
      <c r="B27" t="s">
        <v>20</v>
      </c>
      <c r="D27" s="1">
        <v>7.5</v>
      </c>
    </row>
    <row r="28" spans="2:6" x14ac:dyDescent="0.25">
      <c r="B28" t="s">
        <v>21</v>
      </c>
      <c r="D28" s="2">
        <v>8</v>
      </c>
    </row>
    <row r="29" spans="2:6" x14ac:dyDescent="0.25">
      <c r="B29" t="s">
        <v>22</v>
      </c>
      <c r="D29" s="1">
        <v>6.5</v>
      </c>
    </row>
    <row r="31" spans="2:6" x14ac:dyDescent="0.25">
      <c r="B31" t="s">
        <v>24</v>
      </c>
      <c r="D31" s="1">
        <v>1.79</v>
      </c>
      <c r="E31" s="1">
        <v>1.31</v>
      </c>
      <c r="F31" s="1">
        <v>1.04</v>
      </c>
    </row>
    <row r="32" spans="2:6" x14ac:dyDescent="0.25">
      <c r="B32" t="s">
        <v>31</v>
      </c>
    </row>
    <row r="33" spans="2:5" x14ac:dyDescent="0.25">
      <c r="B33" t="s">
        <v>32</v>
      </c>
    </row>
    <row r="34" spans="2:5" x14ac:dyDescent="0.25">
      <c r="B34" t="s">
        <v>33</v>
      </c>
    </row>
    <row r="35" spans="2:5" x14ac:dyDescent="0.25">
      <c r="B35" t="s">
        <v>34</v>
      </c>
      <c r="D35" s="2">
        <v>31648</v>
      </c>
    </row>
    <row r="36" spans="2:5" x14ac:dyDescent="0.25">
      <c r="B36" t="s">
        <v>35</v>
      </c>
      <c r="D36" s="1">
        <v>1.5</v>
      </c>
    </row>
    <row r="37" spans="2:5" x14ac:dyDescent="0.25">
      <c r="B37" t="s">
        <v>36</v>
      </c>
      <c r="D37" s="2">
        <v>160000</v>
      </c>
    </row>
    <row r="38" spans="2:5" x14ac:dyDescent="0.25">
      <c r="B38" t="s">
        <v>37</v>
      </c>
    </row>
    <row r="39" spans="2:5" x14ac:dyDescent="0.25">
      <c r="B39" t="s">
        <v>38</v>
      </c>
      <c r="D39" s="2">
        <v>200800</v>
      </c>
    </row>
    <row r="40" spans="2:5" x14ac:dyDescent="0.25">
      <c r="B40" t="s">
        <v>39</v>
      </c>
      <c r="D40" s="2">
        <v>20000</v>
      </c>
      <c r="E40" t="s">
        <v>42</v>
      </c>
    </row>
    <row r="41" spans="2:5" x14ac:dyDescent="0.25">
      <c r="B41" t="s">
        <v>40</v>
      </c>
      <c r="D41" s="5">
        <v>0.06</v>
      </c>
    </row>
    <row r="42" spans="2:5" x14ac:dyDescent="0.25">
      <c r="B42" t="s">
        <v>41</v>
      </c>
      <c r="D42" s="2">
        <v>1109969</v>
      </c>
    </row>
    <row r="43" spans="2:5" x14ac:dyDescent="0.25">
      <c r="B43" t="s">
        <v>43</v>
      </c>
      <c r="D43" s="5">
        <v>0.3</v>
      </c>
    </row>
    <row r="44" spans="2:5" x14ac:dyDescent="0.25">
      <c r="B44" t="s">
        <v>44</v>
      </c>
      <c r="D44" t="s">
        <v>45</v>
      </c>
    </row>
    <row r="45" spans="2:5" x14ac:dyDescent="0.25">
      <c r="B45" t="s">
        <v>46</v>
      </c>
      <c r="D45">
        <v>40000</v>
      </c>
    </row>
    <row r="46" spans="2:5" x14ac:dyDescent="0.25">
      <c r="B46" t="s">
        <v>47</v>
      </c>
      <c r="D46">
        <v>25000</v>
      </c>
    </row>
    <row r="47" spans="2:5" x14ac:dyDescent="0.25">
      <c r="B47" t="s">
        <v>48</v>
      </c>
      <c r="D47" s="2">
        <v>400000</v>
      </c>
    </row>
    <row r="48" spans="2:5" x14ac:dyDescent="0.25">
      <c r="B48" t="s">
        <v>49</v>
      </c>
      <c r="D48">
        <v>75000</v>
      </c>
    </row>
    <row r="49" spans="2:5" x14ac:dyDescent="0.25">
      <c r="B49" t="s">
        <v>50</v>
      </c>
      <c r="D49">
        <v>100000</v>
      </c>
    </row>
    <row r="50" spans="2:5" x14ac:dyDescent="0.25">
      <c r="B50" t="s">
        <v>51</v>
      </c>
      <c r="D50">
        <v>50000</v>
      </c>
    </row>
    <row r="51" spans="2:5" x14ac:dyDescent="0.25">
      <c r="B51" t="s">
        <v>52</v>
      </c>
      <c r="D51">
        <v>35000</v>
      </c>
    </row>
    <row r="52" spans="2:5" x14ac:dyDescent="0.25">
      <c r="B52" t="s">
        <v>53</v>
      </c>
      <c r="D52" s="5">
        <v>0.08</v>
      </c>
      <c r="E52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4" sqref="F14"/>
    </sheetView>
  </sheetViews>
  <sheetFormatPr defaultRowHeight="15" x14ac:dyDescent="0.25"/>
  <cols>
    <col min="2" max="2" width="19.125" bestFit="1" customWidth="1"/>
    <col min="3" max="9" width="13.625" customWidth="1"/>
  </cols>
  <sheetData>
    <row r="2" spans="2:6" x14ac:dyDescent="0.25">
      <c r="C2" s="10">
        <v>2015</v>
      </c>
      <c r="D2" s="10"/>
      <c r="E2" s="10"/>
      <c r="F2" s="10"/>
    </row>
    <row r="3" spans="2:6" x14ac:dyDescent="0.25">
      <c r="C3" s="6" t="s">
        <v>1</v>
      </c>
      <c r="D3" s="6" t="s">
        <v>2</v>
      </c>
      <c r="E3" s="6" t="s">
        <v>3</v>
      </c>
      <c r="F3" s="6" t="s">
        <v>0</v>
      </c>
    </row>
    <row r="4" spans="2:6" x14ac:dyDescent="0.25">
      <c r="B4" t="s">
        <v>4</v>
      </c>
    </row>
    <row r="5" spans="2:6" x14ac:dyDescent="0.25">
      <c r="B5" t="s">
        <v>8</v>
      </c>
      <c r="C5">
        <f>data!E4</f>
        <v>36000</v>
      </c>
      <c r="D5">
        <f>C5*1.05</f>
        <v>37800</v>
      </c>
      <c r="E5">
        <f>D5*1.05</f>
        <v>39690</v>
      </c>
      <c r="F5">
        <f>E5*1.2</f>
        <v>47628</v>
      </c>
    </row>
    <row r="6" spans="2:6" x14ac:dyDescent="0.25">
      <c r="B6" t="s">
        <v>10</v>
      </c>
      <c r="C6" s="2">
        <v>6</v>
      </c>
      <c r="D6" s="2">
        <v>6</v>
      </c>
      <c r="E6" s="2">
        <v>6</v>
      </c>
      <c r="F6" s="2">
        <v>6</v>
      </c>
    </row>
    <row r="7" spans="2:6" x14ac:dyDescent="0.25">
      <c r="B7" t="s">
        <v>11</v>
      </c>
      <c r="C7" s="2">
        <f>C5*C6</f>
        <v>216000</v>
      </c>
      <c r="D7" s="2">
        <f t="shared" ref="D7:F7" si="0">D5*D6</f>
        <v>226800</v>
      </c>
      <c r="E7" s="2">
        <f t="shared" si="0"/>
        <v>238140</v>
      </c>
      <c r="F7" s="2">
        <f t="shared" si="0"/>
        <v>285768</v>
      </c>
    </row>
    <row r="8" spans="2:6" x14ac:dyDescent="0.25">
      <c r="B8" t="s">
        <v>9</v>
      </c>
      <c r="C8">
        <f>data!E6</f>
        <v>52000</v>
      </c>
      <c r="D8">
        <f>C8*1.05</f>
        <v>54600</v>
      </c>
      <c r="E8">
        <f>D8*1.05</f>
        <v>57330</v>
      </c>
      <c r="F8">
        <f>E8*1.2</f>
        <v>68796</v>
      </c>
    </row>
    <row r="9" spans="2:6" x14ac:dyDescent="0.25">
      <c r="B9" t="s">
        <v>10</v>
      </c>
      <c r="C9" s="1">
        <v>5.25</v>
      </c>
      <c r="D9" s="1">
        <v>5.25</v>
      </c>
      <c r="E9" s="1">
        <v>5.25</v>
      </c>
      <c r="F9" s="1">
        <v>5.25</v>
      </c>
    </row>
    <row r="10" spans="2:6" x14ac:dyDescent="0.25">
      <c r="B10" t="s">
        <v>11</v>
      </c>
      <c r="C10" s="2">
        <f>C8*C9</f>
        <v>273000</v>
      </c>
      <c r="D10" s="2">
        <f t="shared" ref="D10" si="1">D8*D9</f>
        <v>286650</v>
      </c>
      <c r="E10" s="2">
        <f t="shared" ref="E10" si="2">E8*E9</f>
        <v>300982.5</v>
      </c>
      <c r="F10" s="2">
        <f t="shared" ref="F10" si="3">F8*F9</f>
        <v>361179</v>
      </c>
    </row>
    <row r="11" spans="2:6" x14ac:dyDescent="0.25">
      <c r="B11" t="s">
        <v>55</v>
      </c>
      <c r="C11">
        <f>data!E8</f>
        <v>68000</v>
      </c>
      <c r="D11">
        <f>C11*1.05</f>
        <v>71400</v>
      </c>
      <c r="E11">
        <f>D11*1.05</f>
        <v>74970</v>
      </c>
      <c r="F11">
        <f>E11*1.2</f>
        <v>89964</v>
      </c>
    </row>
    <row r="12" spans="2:6" x14ac:dyDescent="0.25">
      <c r="B12" t="s">
        <v>10</v>
      </c>
      <c r="C12" s="1">
        <v>5.75</v>
      </c>
      <c r="D12" s="1">
        <v>5.75</v>
      </c>
      <c r="E12" s="1">
        <v>5.75</v>
      </c>
      <c r="F12" s="1">
        <v>5.75</v>
      </c>
    </row>
    <row r="13" spans="2:6" x14ac:dyDescent="0.25">
      <c r="B13" t="s">
        <v>11</v>
      </c>
      <c r="C13" s="2">
        <f>C11*C12</f>
        <v>391000</v>
      </c>
      <c r="D13" s="2">
        <f t="shared" ref="D13" si="4">D11*D12</f>
        <v>410550</v>
      </c>
      <c r="E13" s="2">
        <f t="shared" ref="E13" si="5">E11*E12</f>
        <v>431077.5</v>
      </c>
      <c r="F13" s="2">
        <f t="shared" ref="F13" si="6">F11*F12</f>
        <v>517293</v>
      </c>
    </row>
    <row r="14" spans="2:6" x14ac:dyDescent="0.25">
      <c r="B14" s="3" t="s">
        <v>12</v>
      </c>
      <c r="C14" s="11">
        <f>C7+C10+C13</f>
        <v>880000</v>
      </c>
      <c r="D14" s="11">
        <f t="shared" ref="D14:F14" si="7">D7+D10+D13</f>
        <v>924000</v>
      </c>
      <c r="E14" s="11">
        <f t="shared" si="7"/>
        <v>970200</v>
      </c>
      <c r="F14" s="11">
        <f t="shared" si="7"/>
        <v>1164240</v>
      </c>
    </row>
  </sheetData>
  <mergeCells count="1">
    <mergeCell ref="C2:F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F12" sqref="F12"/>
    </sheetView>
  </sheetViews>
  <sheetFormatPr defaultRowHeight="15" x14ac:dyDescent="0.25"/>
  <cols>
    <col min="2" max="2" width="36.875" customWidth="1"/>
    <col min="3" max="8" width="14.125" customWidth="1"/>
  </cols>
  <sheetData>
    <row r="2" spans="2:6" x14ac:dyDescent="0.25">
      <c r="B2" s="10" t="s">
        <v>56</v>
      </c>
      <c r="C2" s="10"/>
      <c r="D2" s="10"/>
      <c r="E2" s="10"/>
      <c r="F2" s="10"/>
    </row>
    <row r="3" spans="2:6" x14ac:dyDescent="0.25">
      <c r="C3" s="10">
        <v>2015</v>
      </c>
      <c r="D3" s="10"/>
      <c r="E3" s="10"/>
      <c r="F3" s="10"/>
    </row>
    <row r="4" spans="2:6" x14ac:dyDescent="0.25">
      <c r="C4" s="6" t="s">
        <v>1</v>
      </c>
      <c r="D4" s="6" t="s">
        <v>2</v>
      </c>
      <c r="E4" s="6" t="s">
        <v>3</v>
      </c>
      <c r="F4" s="6" t="s">
        <v>0</v>
      </c>
    </row>
    <row r="5" spans="2:6" x14ac:dyDescent="0.25">
      <c r="B5" t="s">
        <v>57</v>
      </c>
      <c r="C5" s="2">
        <f>sales!C14*10%</f>
        <v>88000</v>
      </c>
      <c r="D5" s="2">
        <f>sales!D14*10%</f>
        <v>92400</v>
      </c>
      <c r="E5" s="2">
        <f>sales!E14*10%</f>
        <v>97020</v>
      </c>
      <c r="F5" s="2">
        <f>sales!F14*10%</f>
        <v>116424</v>
      </c>
    </row>
    <row r="6" spans="2:6" x14ac:dyDescent="0.25">
      <c r="B6" t="s">
        <v>27</v>
      </c>
    </row>
    <row r="7" spans="2:6" x14ac:dyDescent="0.25">
      <c r="B7" t="s">
        <v>58</v>
      </c>
      <c r="C7">
        <f>data!C16*25%</f>
        <v>200500</v>
      </c>
    </row>
    <row r="8" spans="2:6" x14ac:dyDescent="0.25">
      <c r="B8" t="s">
        <v>59</v>
      </c>
      <c r="C8">
        <f>data!D16*45%</f>
        <v>451125</v>
      </c>
    </row>
    <row r="9" spans="2:6" x14ac:dyDescent="0.25">
      <c r="B9" t="s">
        <v>60</v>
      </c>
      <c r="C9" s="2">
        <f>sales!C14*30%</f>
        <v>264000</v>
      </c>
      <c r="D9" s="2">
        <f>sales!D14*30%</f>
        <v>277200</v>
      </c>
      <c r="E9" s="2">
        <f>sales!E14*30%</f>
        <v>291060</v>
      </c>
      <c r="F9" s="2">
        <f>sales!F14*30%</f>
        <v>349272</v>
      </c>
    </row>
    <row r="10" spans="2:6" x14ac:dyDescent="0.25">
      <c r="B10" t="s">
        <v>61</v>
      </c>
      <c r="D10" s="2">
        <f>sales!C14*45%</f>
        <v>396000</v>
      </c>
      <c r="E10" s="2">
        <f>sales!D14*45%</f>
        <v>415800</v>
      </c>
      <c r="F10" s="2">
        <f>sales!E14*45%</f>
        <v>436590</v>
      </c>
    </row>
    <row r="11" spans="2:6" x14ac:dyDescent="0.25">
      <c r="B11" t="s">
        <v>62</v>
      </c>
      <c r="E11" s="2">
        <f>sales!C14*25%</f>
        <v>220000</v>
      </c>
      <c r="F11" s="2">
        <f>sales!D14*25%</f>
        <v>231000</v>
      </c>
    </row>
    <row r="12" spans="2:6" x14ac:dyDescent="0.25">
      <c r="B12" s="3" t="s">
        <v>63</v>
      </c>
      <c r="C12" s="11">
        <f>SUM(C5:C11)</f>
        <v>1003625</v>
      </c>
      <c r="D12" s="11">
        <f t="shared" ref="D12:F12" si="0">SUM(D5:D11)</f>
        <v>765600</v>
      </c>
      <c r="E12" s="11">
        <f t="shared" si="0"/>
        <v>1023880</v>
      </c>
      <c r="F12" s="11">
        <f t="shared" si="0"/>
        <v>1133286</v>
      </c>
    </row>
  </sheetData>
  <mergeCells count="2">
    <mergeCell ref="B2:F2"/>
    <mergeCell ref="C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topLeftCell="A2" workbookViewId="0">
      <selection activeCell="B2" sqref="B2:F4"/>
    </sheetView>
  </sheetViews>
  <sheetFormatPr defaultRowHeight="15" x14ac:dyDescent="0.25"/>
  <cols>
    <col min="2" max="2" width="36.25" customWidth="1"/>
    <col min="3" max="3" width="14" customWidth="1"/>
    <col min="4" max="4" width="12.875" customWidth="1"/>
    <col min="5" max="5" width="13.375" customWidth="1"/>
    <col min="6" max="6" width="14.375" customWidth="1"/>
  </cols>
  <sheetData>
    <row r="2" spans="2:6" x14ac:dyDescent="0.25">
      <c r="B2" s="10" t="s">
        <v>69</v>
      </c>
      <c r="C2" s="10"/>
      <c r="D2" s="10"/>
      <c r="E2" s="10"/>
      <c r="F2" s="10"/>
    </row>
    <row r="3" spans="2:6" x14ac:dyDescent="0.25">
      <c r="C3" s="10">
        <v>2015</v>
      </c>
      <c r="D3" s="10"/>
      <c r="E3" s="10"/>
      <c r="F3" s="10"/>
    </row>
    <row r="4" spans="2:6" x14ac:dyDescent="0.25">
      <c r="C4" s="6" t="s">
        <v>1</v>
      </c>
      <c r="D4" s="6" t="s">
        <v>2</v>
      </c>
      <c r="E4" s="6" t="s">
        <v>3</v>
      </c>
      <c r="F4" s="6" t="s">
        <v>0</v>
      </c>
    </row>
    <row r="5" spans="2:6" x14ac:dyDescent="0.25">
      <c r="B5" s="3" t="s">
        <v>5</v>
      </c>
    </row>
    <row r="6" spans="2:6" x14ac:dyDescent="0.25">
      <c r="B6" t="s">
        <v>64</v>
      </c>
      <c r="C6">
        <f>data!E4</f>
        <v>36000</v>
      </c>
      <c r="D6">
        <f>data!F4</f>
        <v>37800</v>
      </c>
      <c r="E6">
        <f>data!G4</f>
        <v>39690</v>
      </c>
      <c r="F6">
        <f>data!H4</f>
        <v>47628</v>
      </c>
    </row>
    <row r="7" spans="2:6" x14ac:dyDescent="0.25">
      <c r="B7" t="s">
        <v>65</v>
      </c>
      <c r="C7">
        <f>C6*2/90</f>
        <v>800</v>
      </c>
      <c r="D7">
        <f t="shared" ref="D7:F7" si="0">D6*2/90</f>
        <v>840</v>
      </c>
      <c r="E7">
        <f t="shared" si="0"/>
        <v>882</v>
      </c>
      <c r="F7" s="7">
        <f t="shared" si="0"/>
        <v>1058.4000000000001</v>
      </c>
    </row>
    <row r="8" spans="2:6" x14ac:dyDescent="0.25">
      <c r="B8" t="s">
        <v>66</v>
      </c>
      <c r="C8">
        <f>C6-C7</f>
        <v>35200</v>
      </c>
      <c r="D8">
        <f t="shared" ref="D8:F8" si="1">D6-D7</f>
        <v>36960</v>
      </c>
      <c r="E8">
        <f t="shared" si="1"/>
        <v>38808</v>
      </c>
      <c r="F8" s="7">
        <f t="shared" si="1"/>
        <v>46569.599999999999</v>
      </c>
    </row>
    <row r="9" spans="2:6" x14ac:dyDescent="0.25">
      <c r="B9" t="s">
        <v>67</v>
      </c>
      <c r="C9">
        <f>data!D4*2/90</f>
        <v>1000</v>
      </c>
      <c r="D9">
        <f>C7</f>
        <v>800</v>
      </c>
      <c r="E9">
        <f t="shared" ref="E9:F9" si="2">D7</f>
        <v>840</v>
      </c>
      <c r="F9">
        <f t="shared" si="2"/>
        <v>882</v>
      </c>
    </row>
    <row r="10" spans="2:6" x14ac:dyDescent="0.25">
      <c r="B10" t="s">
        <v>68</v>
      </c>
      <c r="C10">
        <f>C8-C9</f>
        <v>34200</v>
      </c>
      <c r="D10">
        <f t="shared" ref="D10:F10" si="3">D8-D9</f>
        <v>36160</v>
      </c>
      <c r="E10">
        <f t="shared" si="3"/>
        <v>37968</v>
      </c>
      <c r="F10" s="7">
        <f t="shared" si="3"/>
        <v>45687.6</v>
      </c>
    </row>
    <row r="11" spans="2:6" x14ac:dyDescent="0.25">
      <c r="B11" s="3" t="s">
        <v>6</v>
      </c>
    </row>
    <row r="12" spans="2:6" x14ac:dyDescent="0.25">
      <c r="B12" t="s">
        <v>64</v>
      </c>
      <c r="C12">
        <f>data!E6</f>
        <v>52000</v>
      </c>
      <c r="D12">
        <f>data!F6</f>
        <v>54600</v>
      </c>
      <c r="E12">
        <f>data!G6</f>
        <v>57330</v>
      </c>
      <c r="F12">
        <f>data!H6</f>
        <v>68796</v>
      </c>
    </row>
    <row r="13" spans="2:6" x14ac:dyDescent="0.25">
      <c r="B13" t="s">
        <v>65</v>
      </c>
      <c r="C13" s="7">
        <f>C12*2/90</f>
        <v>1155.5555555555557</v>
      </c>
      <c r="D13" s="7">
        <f t="shared" ref="D13" si="4">D12*2/90</f>
        <v>1213.3333333333333</v>
      </c>
      <c r="E13">
        <f t="shared" ref="E13" si="5">E12*2/90</f>
        <v>1274</v>
      </c>
      <c r="F13" s="7">
        <f t="shared" ref="F13" si="6">F12*2/90</f>
        <v>1528.8</v>
      </c>
    </row>
    <row r="14" spans="2:6" x14ac:dyDescent="0.25">
      <c r="B14" t="s">
        <v>66</v>
      </c>
      <c r="C14" s="7">
        <f>C12+C13</f>
        <v>53155.555555555555</v>
      </c>
      <c r="D14" s="7">
        <f t="shared" ref="D14:F14" si="7">D12+D13</f>
        <v>55813.333333333336</v>
      </c>
      <c r="E14" s="7">
        <f t="shared" si="7"/>
        <v>58604</v>
      </c>
      <c r="F14" s="7">
        <f t="shared" si="7"/>
        <v>70324.800000000003</v>
      </c>
    </row>
    <row r="15" spans="2:6" x14ac:dyDescent="0.25">
      <c r="B15" t="s">
        <v>67</v>
      </c>
      <c r="C15" s="7">
        <f>data!D6*2/90</f>
        <v>1444.4444444444443</v>
      </c>
      <c r="D15" s="7">
        <f>C13</f>
        <v>1155.5555555555557</v>
      </c>
      <c r="E15" s="7">
        <f t="shared" ref="E15:F15" si="8">D13</f>
        <v>1213.3333333333333</v>
      </c>
      <c r="F15" s="7">
        <f t="shared" si="8"/>
        <v>1274</v>
      </c>
    </row>
    <row r="16" spans="2:6" x14ac:dyDescent="0.25">
      <c r="B16" t="s">
        <v>68</v>
      </c>
      <c r="C16" s="7">
        <f>C14-C15</f>
        <v>51711.111111111109</v>
      </c>
      <c r="D16" s="7">
        <f t="shared" ref="D16:F16" si="9">D14-D15</f>
        <v>54657.777777777781</v>
      </c>
      <c r="E16" s="7">
        <f t="shared" si="9"/>
        <v>57390.666666666664</v>
      </c>
      <c r="F16" s="7">
        <f t="shared" si="9"/>
        <v>69050.8</v>
      </c>
    </row>
    <row r="17" spans="2:6" x14ac:dyDescent="0.25">
      <c r="B17" s="3" t="s">
        <v>7</v>
      </c>
    </row>
    <row r="18" spans="2:6" x14ac:dyDescent="0.25">
      <c r="B18" t="s">
        <v>64</v>
      </c>
      <c r="C18">
        <f>data!E8</f>
        <v>68000</v>
      </c>
      <c r="D18">
        <f>data!F8</f>
        <v>71400</v>
      </c>
      <c r="E18">
        <f>data!G8</f>
        <v>74970</v>
      </c>
      <c r="F18">
        <f>data!H8</f>
        <v>89964</v>
      </c>
    </row>
    <row r="19" spans="2:6" x14ac:dyDescent="0.25">
      <c r="B19" t="s">
        <v>65</v>
      </c>
      <c r="C19" s="7">
        <f>C18*2/90</f>
        <v>1511.1111111111111</v>
      </c>
      <c r="D19" s="7">
        <f t="shared" ref="D19:F19" si="10">D18*2/90</f>
        <v>1586.6666666666667</v>
      </c>
      <c r="E19" s="7">
        <f t="shared" si="10"/>
        <v>1666</v>
      </c>
      <c r="F19" s="7">
        <f t="shared" si="10"/>
        <v>1999.2</v>
      </c>
    </row>
    <row r="20" spans="2:6" x14ac:dyDescent="0.25">
      <c r="B20" t="s">
        <v>66</v>
      </c>
      <c r="C20" s="7">
        <f>SUM(C18:C19)</f>
        <v>69511.111111111109</v>
      </c>
      <c r="D20" s="7">
        <f t="shared" ref="D20:F20" si="11">SUM(D18:D19)</f>
        <v>72986.666666666672</v>
      </c>
      <c r="E20" s="7">
        <f t="shared" si="11"/>
        <v>76636</v>
      </c>
      <c r="F20" s="7">
        <f t="shared" si="11"/>
        <v>91963.199999999997</v>
      </c>
    </row>
    <row r="21" spans="2:6" x14ac:dyDescent="0.25">
      <c r="B21" t="s">
        <v>67</v>
      </c>
      <c r="C21" s="7">
        <f>data!D8*2/90</f>
        <v>1888.8888888888889</v>
      </c>
      <c r="D21" s="7">
        <f>C19</f>
        <v>1511.1111111111111</v>
      </c>
      <c r="E21" s="7">
        <f t="shared" ref="E21:F21" si="12">D19</f>
        <v>1586.6666666666667</v>
      </c>
      <c r="F21" s="7">
        <f t="shared" si="12"/>
        <v>1666</v>
      </c>
    </row>
    <row r="22" spans="2:6" x14ac:dyDescent="0.25">
      <c r="B22" t="s">
        <v>68</v>
      </c>
      <c r="C22" s="7">
        <f>C20-C21</f>
        <v>67622.222222222219</v>
      </c>
      <c r="D22" s="7">
        <f t="shared" ref="D22:F22" si="13">D20-D21</f>
        <v>71475.555555555562</v>
      </c>
      <c r="E22" s="7">
        <f t="shared" si="13"/>
        <v>75049.333333333328</v>
      </c>
      <c r="F22" s="7">
        <f t="shared" si="13"/>
        <v>90297.2</v>
      </c>
    </row>
  </sheetData>
  <mergeCells count="2">
    <mergeCell ref="B2:F2"/>
    <mergeCell ref="C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F18" sqref="F18"/>
    </sheetView>
  </sheetViews>
  <sheetFormatPr defaultRowHeight="15" x14ac:dyDescent="0.25"/>
  <cols>
    <col min="2" max="2" width="37" customWidth="1"/>
    <col min="3" max="3" width="13.25" customWidth="1"/>
    <col min="4" max="4" width="13.875" customWidth="1"/>
    <col min="5" max="5" width="13.25" customWidth="1"/>
    <col min="6" max="6" width="13.625" customWidth="1"/>
  </cols>
  <sheetData>
    <row r="2" spans="2:6" x14ac:dyDescent="0.25">
      <c r="B2" s="10" t="s">
        <v>70</v>
      </c>
      <c r="C2" s="10"/>
      <c r="D2" s="10"/>
      <c r="E2" s="10"/>
      <c r="F2" s="10"/>
    </row>
    <row r="3" spans="2:6" x14ac:dyDescent="0.25">
      <c r="C3" s="10">
        <v>2015</v>
      </c>
      <c r="D3" s="10"/>
      <c r="E3" s="10"/>
      <c r="F3" s="10"/>
    </row>
    <row r="4" spans="2:6" x14ac:dyDescent="0.25">
      <c r="C4" s="6" t="s">
        <v>1</v>
      </c>
      <c r="D4" s="6" t="s">
        <v>2</v>
      </c>
      <c r="E4" s="6" t="s">
        <v>3</v>
      </c>
      <c r="F4" s="6" t="s">
        <v>0</v>
      </c>
    </row>
    <row r="5" spans="2:6" x14ac:dyDescent="0.25">
      <c r="B5" s="3" t="s">
        <v>5</v>
      </c>
    </row>
    <row r="6" spans="2:6" x14ac:dyDescent="0.25">
      <c r="B6" t="s">
        <v>71</v>
      </c>
      <c r="C6">
        <f>production!C10</f>
        <v>34200</v>
      </c>
      <c r="D6">
        <f>production!D10</f>
        <v>36160</v>
      </c>
      <c r="E6">
        <f>production!E10</f>
        <v>37968</v>
      </c>
      <c r="F6" s="7">
        <f>production!F10</f>
        <v>45687.6</v>
      </c>
    </row>
    <row r="7" spans="2:6" x14ac:dyDescent="0.25">
      <c r="B7" t="s">
        <v>72</v>
      </c>
      <c r="C7" s="1">
        <v>1.32</v>
      </c>
      <c r="D7" s="1">
        <v>1.32</v>
      </c>
      <c r="E7" s="1">
        <v>1.32</v>
      </c>
      <c r="F7" s="1">
        <v>1.32</v>
      </c>
    </row>
    <row r="8" spans="2:6" x14ac:dyDescent="0.25">
      <c r="B8" t="s">
        <v>73</v>
      </c>
      <c r="C8" s="2">
        <f>C6*C7</f>
        <v>45144</v>
      </c>
      <c r="D8" s="2">
        <f t="shared" ref="D8:F8" si="0">D6*D7</f>
        <v>47731.200000000004</v>
      </c>
      <c r="E8" s="2">
        <f t="shared" si="0"/>
        <v>50117.760000000002</v>
      </c>
      <c r="F8" s="2">
        <f t="shared" si="0"/>
        <v>60307.631999999998</v>
      </c>
    </row>
    <row r="9" spans="2:6" x14ac:dyDescent="0.25">
      <c r="B9" s="3" t="s">
        <v>6</v>
      </c>
    </row>
    <row r="10" spans="2:6" x14ac:dyDescent="0.25">
      <c r="B10" t="s">
        <v>71</v>
      </c>
      <c r="C10" s="7">
        <f>production!C16</f>
        <v>51711.111111111109</v>
      </c>
      <c r="D10" s="7">
        <f>production!D16</f>
        <v>54657.777777777781</v>
      </c>
      <c r="E10" s="7">
        <f>production!E16</f>
        <v>57390.666666666664</v>
      </c>
      <c r="F10" s="7">
        <f>production!F16</f>
        <v>69050.8</v>
      </c>
    </row>
    <row r="11" spans="2:6" x14ac:dyDescent="0.25">
      <c r="B11" t="s">
        <v>72</v>
      </c>
      <c r="C11" s="1">
        <v>1.79</v>
      </c>
      <c r="D11" s="1">
        <v>1.79</v>
      </c>
      <c r="E11" s="1">
        <v>1.79</v>
      </c>
      <c r="F11" s="1">
        <v>1.79</v>
      </c>
    </row>
    <row r="12" spans="2:6" x14ac:dyDescent="0.25">
      <c r="B12" t="s">
        <v>73</v>
      </c>
      <c r="C12" s="2">
        <f>C10*C11</f>
        <v>92562.888888888891</v>
      </c>
      <c r="D12" s="2">
        <f t="shared" ref="D12:F12" si="1">D10*D11</f>
        <v>97837.422222222231</v>
      </c>
      <c r="E12" s="2">
        <f t="shared" si="1"/>
        <v>102729.29333333333</v>
      </c>
      <c r="F12" s="2">
        <f t="shared" si="1"/>
        <v>123600.932</v>
      </c>
    </row>
    <row r="13" spans="2:6" x14ac:dyDescent="0.25">
      <c r="B13" s="3" t="s">
        <v>7</v>
      </c>
    </row>
    <row r="14" spans="2:6" x14ac:dyDescent="0.25">
      <c r="B14" t="s">
        <v>71</v>
      </c>
      <c r="C14" s="7">
        <f>production!C22</f>
        <v>67622.222222222219</v>
      </c>
      <c r="D14" s="7">
        <f>production!D22</f>
        <v>71475.555555555562</v>
      </c>
      <c r="E14" s="7">
        <f>production!E22</f>
        <v>75049.333333333328</v>
      </c>
      <c r="F14" s="7">
        <f>production!F22</f>
        <v>90297.2</v>
      </c>
    </row>
    <row r="15" spans="2:6" x14ac:dyDescent="0.25">
      <c r="B15" t="s">
        <v>72</v>
      </c>
      <c r="C15" s="1">
        <v>1.04</v>
      </c>
      <c r="D15" s="1">
        <v>1.04</v>
      </c>
      <c r="E15" s="1">
        <v>1.04</v>
      </c>
      <c r="F15" s="1">
        <v>1.04</v>
      </c>
    </row>
    <row r="16" spans="2:6" x14ac:dyDescent="0.25">
      <c r="B16" t="s">
        <v>73</v>
      </c>
      <c r="C16" s="2">
        <f>C14*C15</f>
        <v>70327.111111111109</v>
      </c>
      <c r="D16" s="2">
        <f t="shared" ref="D16:F16" si="2">D14*D15</f>
        <v>74334.577777777784</v>
      </c>
      <c r="E16" s="2">
        <f t="shared" si="2"/>
        <v>78051.306666666671</v>
      </c>
      <c r="F16" s="2">
        <f t="shared" si="2"/>
        <v>93909.088000000003</v>
      </c>
    </row>
    <row r="18" spans="2:6" x14ac:dyDescent="0.25">
      <c r="B18" s="3" t="s">
        <v>74</v>
      </c>
      <c r="C18" s="11">
        <f>C8+C12+C16</f>
        <v>208034</v>
      </c>
      <c r="D18" s="11">
        <f t="shared" ref="D18:F18" si="3">D8+D12+D16</f>
        <v>219903.2</v>
      </c>
      <c r="E18" s="11">
        <f t="shared" si="3"/>
        <v>230898.36000000002</v>
      </c>
      <c r="F18" s="11">
        <f t="shared" si="3"/>
        <v>277817.652</v>
      </c>
    </row>
  </sheetData>
  <mergeCells count="2">
    <mergeCell ref="B2:F2"/>
    <mergeCell ref="C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F9" sqref="F9"/>
    </sheetView>
  </sheetViews>
  <sheetFormatPr defaultRowHeight="15" x14ac:dyDescent="0.25"/>
  <cols>
    <col min="2" max="2" width="33.75" customWidth="1"/>
    <col min="3" max="7" width="13.625" customWidth="1"/>
  </cols>
  <sheetData>
    <row r="2" spans="2:6" x14ac:dyDescent="0.25">
      <c r="B2" s="10" t="s">
        <v>75</v>
      </c>
      <c r="C2" s="10"/>
      <c r="D2" s="10"/>
      <c r="E2" s="10"/>
      <c r="F2" s="10"/>
    </row>
    <row r="3" spans="2:6" x14ac:dyDescent="0.25">
      <c r="C3" s="10">
        <v>2015</v>
      </c>
      <c r="D3" s="10"/>
      <c r="E3" s="10"/>
      <c r="F3" s="10"/>
    </row>
    <row r="4" spans="2:6" x14ac:dyDescent="0.25">
      <c r="C4" s="6" t="s">
        <v>1</v>
      </c>
      <c r="D4" s="6" t="s">
        <v>2</v>
      </c>
      <c r="E4" s="6" t="s">
        <v>3</v>
      </c>
      <c r="F4" s="6" t="s">
        <v>0</v>
      </c>
    </row>
    <row r="5" spans="2:6" x14ac:dyDescent="0.25">
      <c r="B5" t="s">
        <v>76</v>
      </c>
      <c r="C5" s="2">
        <f>'purchase budget'!C18</f>
        <v>208034</v>
      </c>
      <c r="D5" s="2">
        <f>'purchase budget'!D18</f>
        <v>219903.2</v>
      </c>
      <c r="E5" s="2">
        <f>'purchase budget'!E18</f>
        <v>230898.36000000002</v>
      </c>
      <c r="F5" s="2">
        <f>'purchase budget'!F18</f>
        <v>277817.652</v>
      </c>
    </row>
    <row r="6" spans="2:6" x14ac:dyDescent="0.25">
      <c r="B6" t="s">
        <v>77</v>
      </c>
      <c r="C6" s="2">
        <f>data!D35</f>
        <v>31648</v>
      </c>
    </row>
    <row r="7" spans="2:6" x14ac:dyDescent="0.25">
      <c r="B7" t="s">
        <v>78</v>
      </c>
      <c r="C7" s="2">
        <f>C5*85%</f>
        <v>176828.9</v>
      </c>
      <c r="D7" s="2">
        <f t="shared" ref="D7:F7" si="0">D5*85%</f>
        <v>186917.72</v>
      </c>
      <c r="E7" s="2">
        <f t="shared" si="0"/>
        <v>196263.606</v>
      </c>
      <c r="F7" s="2">
        <f t="shared" si="0"/>
        <v>236145.0042</v>
      </c>
    </row>
    <row r="8" spans="2:6" x14ac:dyDescent="0.25">
      <c r="B8" t="s">
        <v>79</v>
      </c>
      <c r="D8" s="2">
        <f>C5*15%</f>
        <v>31205.1</v>
      </c>
      <c r="E8" s="2">
        <f t="shared" ref="E8:F8" si="1">D5*15%</f>
        <v>32985.480000000003</v>
      </c>
      <c r="F8" s="2">
        <f t="shared" si="1"/>
        <v>34634.754000000001</v>
      </c>
    </row>
    <row r="9" spans="2:6" x14ac:dyDescent="0.25">
      <c r="B9" s="3" t="s">
        <v>80</v>
      </c>
      <c r="C9" s="11">
        <f>SUM(C6:C8)</f>
        <v>208476.9</v>
      </c>
      <c r="D9" s="11">
        <f t="shared" ref="D9:F9" si="2">SUM(D6:D8)</f>
        <v>218122.82</v>
      </c>
      <c r="E9" s="11">
        <f t="shared" si="2"/>
        <v>229249.08600000001</v>
      </c>
      <c r="F9" s="11">
        <f t="shared" si="2"/>
        <v>270779.75819999998</v>
      </c>
    </row>
  </sheetData>
  <mergeCells count="2">
    <mergeCell ref="B2:F2"/>
    <mergeCell ref="C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topLeftCell="A41" workbookViewId="0">
      <selection activeCell="F43" sqref="F43"/>
    </sheetView>
  </sheetViews>
  <sheetFormatPr defaultRowHeight="15" x14ac:dyDescent="0.25"/>
  <cols>
    <col min="2" max="2" width="36.75" customWidth="1"/>
    <col min="3" max="9" width="14.75" customWidth="1"/>
  </cols>
  <sheetData>
    <row r="2" spans="2:6" x14ac:dyDescent="0.25">
      <c r="B2" s="10" t="s">
        <v>81</v>
      </c>
      <c r="C2" s="10"/>
      <c r="D2" s="10"/>
      <c r="E2" s="10"/>
      <c r="F2" s="10"/>
    </row>
    <row r="3" spans="2:6" x14ac:dyDescent="0.25">
      <c r="C3" s="10">
        <v>2015</v>
      </c>
      <c r="D3" s="10"/>
      <c r="E3" s="10"/>
      <c r="F3" s="10"/>
    </row>
    <row r="4" spans="2:6" x14ac:dyDescent="0.25">
      <c r="C4" s="6" t="s">
        <v>1</v>
      </c>
      <c r="D4" s="6" t="s">
        <v>2</v>
      </c>
      <c r="E4" s="6" t="s">
        <v>3</v>
      </c>
      <c r="F4" s="6" t="s">
        <v>0</v>
      </c>
    </row>
    <row r="5" spans="2:6" x14ac:dyDescent="0.25">
      <c r="B5" s="3" t="s">
        <v>5</v>
      </c>
    </row>
    <row r="6" spans="2:6" x14ac:dyDescent="0.25">
      <c r="B6" t="s">
        <v>71</v>
      </c>
      <c r="C6">
        <f>production!C10</f>
        <v>34200</v>
      </c>
      <c r="D6">
        <f>production!D10</f>
        <v>36160</v>
      </c>
      <c r="E6">
        <f>production!E10</f>
        <v>37968</v>
      </c>
      <c r="F6" s="7">
        <f>production!F10</f>
        <v>45687.6</v>
      </c>
    </row>
    <row r="7" spans="2:6" x14ac:dyDescent="0.25">
      <c r="B7" t="s">
        <v>15</v>
      </c>
      <c r="C7">
        <f>data!D21</f>
        <v>8</v>
      </c>
      <c r="D7">
        <f>C7</f>
        <v>8</v>
      </c>
      <c r="E7">
        <f t="shared" ref="E7:F7" si="0">D7</f>
        <v>8</v>
      </c>
      <c r="F7">
        <f t="shared" si="0"/>
        <v>8</v>
      </c>
    </row>
    <row r="8" spans="2:6" x14ac:dyDescent="0.25">
      <c r="B8" t="s">
        <v>82</v>
      </c>
      <c r="C8">
        <f>C6/C7</f>
        <v>4275</v>
      </c>
      <c r="D8">
        <f t="shared" ref="D8:F8" si="1">D6/D7</f>
        <v>4520</v>
      </c>
      <c r="E8">
        <f t="shared" si="1"/>
        <v>4746</v>
      </c>
      <c r="F8" s="7">
        <f t="shared" si="1"/>
        <v>5710.95</v>
      </c>
    </row>
    <row r="9" spans="2:6" x14ac:dyDescent="0.25">
      <c r="B9" t="s">
        <v>18</v>
      </c>
      <c r="C9">
        <f>data!D22</f>
        <v>0.5</v>
      </c>
      <c r="D9">
        <f>C9</f>
        <v>0.5</v>
      </c>
      <c r="E9">
        <f t="shared" ref="E9:F9" si="2">D9</f>
        <v>0.5</v>
      </c>
      <c r="F9">
        <f t="shared" si="2"/>
        <v>0.5</v>
      </c>
    </row>
    <row r="10" spans="2:6" x14ac:dyDescent="0.25">
      <c r="B10" t="s">
        <v>19</v>
      </c>
      <c r="C10">
        <f>data!D23</f>
        <v>0.25</v>
      </c>
      <c r="D10">
        <f>C10</f>
        <v>0.25</v>
      </c>
      <c r="E10">
        <f t="shared" ref="E10:F10" si="3">D10</f>
        <v>0.25</v>
      </c>
      <c r="F10">
        <f t="shared" si="3"/>
        <v>0.25</v>
      </c>
    </row>
    <row r="11" spans="2:6" x14ac:dyDescent="0.25">
      <c r="B11" t="s">
        <v>83</v>
      </c>
      <c r="C11" s="7">
        <f>C8*C9</f>
        <v>2137.5</v>
      </c>
      <c r="D11" s="7">
        <f t="shared" ref="D11:F11" si="4">D8*D9</f>
        <v>2260</v>
      </c>
      <c r="E11" s="7">
        <f t="shared" si="4"/>
        <v>2373</v>
      </c>
      <c r="F11" s="7">
        <f t="shared" si="4"/>
        <v>2855.4749999999999</v>
      </c>
    </row>
    <row r="12" spans="2:6" x14ac:dyDescent="0.25">
      <c r="B12" t="s">
        <v>84</v>
      </c>
      <c r="C12" s="7">
        <f>C8*C10</f>
        <v>1068.75</v>
      </c>
      <c r="D12" s="7">
        <f t="shared" ref="D12:F12" si="5">D8*D10</f>
        <v>1130</v>
      </c>
      <c r="E12" s="7">
        <f t="shared" si="5"/>
        <v>1186.5</v>
      </c>
      <c r="F12" s="7">
        <f t="shared" si="5"/>
        <v>1427.7375</v>
      </c>
    </row>
    <row r="13" spans="2:6" x14ac:dyDescent="0.25">
      <c r="B13" t="s">
        <v>16</v>
      </c>
      <c r="C13">
        <f>data!D24</f>
        <v>1</v>
      </c>
      <c r="D13">
        <f>C13</f>
        <v>1</v>
      </c>
      <c r="E13">
        <f t="shared" ref="E13:F13" si="6">D13</f>
        <v>1</v>
      </c>
      <c r="F13">
        <f t="shared" si="6"/>
        <v>1</v>
      </c>
    </row>
    <row r="14" spans="2:6" x14ac:dyDescent="0.25">
      <c r="B14" t="s">
        <v>17</v>
      </c>
      <c r="C14">
        <f>data!D25</f>
        <v>0.25</v>
      </c>
      <c r="D14">
        <f>C14</f>
        <v>0.25</v>
      </c>
      <c r="E14">
        <f t="shared" ref="E14:F14" si="7">D14</f>
        <v>0.25</v>
      </c>
      <c r="F14">
        <f t="shared" si="7"/>
        <v>0.25</v>
      </c>
    </row>
    <row r="15" spans="2:6" x14ac:dyDescent="0.25">
      <c r="B15" t="s">
        <v>85</v>
      </c>
      <c r="C15">
        <f>C6/C13*C14</f>
        <v>8550</v>
      </c>
      <c r="D15">
        <f>D6/D13*D14</f>
        <v>9040</v>
      </c>
      <c r="E15">
        <f t="shared" ref="E15:F15" si="8">E6/E13*E14</f>
        <v>9492</v>
      </c>
      <c r="F15" s="7">
        <f t="shared" si="8"/>
        <v>11421.9</v>
      </c>
    </row>
    <row r="17" spans="2:6" x14ac:dyDescent="0.25">
      <c r="B17" s="3" t="s">
        <v>6</v>
      </c>
    </row>
    <row r="18" spans="2:6" x14ac:dyDescent="0.25">
      <c r="B18" t="s">
        <v>71</v>
      </c>
      <c r="C18" s="7">
        <f>'purchase budget'!C10</f>
        <v>51711.111111111109</v>
      </c>
      <c r="D18" s="7">
        <f>'purchase budget'!D10</f>
        <v>54657.777777777781</v>
      </c>
      <c r="E18" s="7">
        <f>'purchase budget'!E10</f>
        <v>57390.666666666664</v>
      </c>
      <c r="F18" s="7">
        <f>'purchase budget'!F10</f>
        <v>69050.8</v>
      </c>
    </row>
    <row r="19" spans="2:6" x14ac:dyDescent="0.25">
      <c r="B19" t="s">
        <v>15</v>
      </c>
      <c r="C19" s="7">
        <f>data!E21</f>
        <v>12</v>
      </c>
      <c r="D19" s="7">
        <f>C19</f>
        <v>12</v>
      </c>
      <c r="E19" s="7">
        <f t="shared" ref="E19:F19" si="9">D19</f>
        <v>12</v>
      </c>
      <c r="F19" s="7">
        <f t="shared" si="9"/>
        <v>12</v>
      </c>
    </row>
    <row r="20" spans="2:6" x14ac:dyDescent="0.25">
      <c r="B20" t="s">
        <v>82</v>
      </c>
      <c r="C20" s="7">
        <f>C18/C19</f>
        <v>4309.2592592592591</v>
      </c>
      <c r="D20" s="7">
        <f t="shared" ref="D20:F20" si="10">D18/D19</f>
        <v>4554.8148148148148</v>
      </c>
      <c r="E20" s="7">
        <f t="shared" si="10"/>
        <v>4782.5555555555557</v>
      </c>
      <c r="F20" s="7">
        <f t="shared" si="10"/>
        <v>5754.2333333333336</v>
      </c>
    </row>
    <row r="21" spans="2:6" x14ac:dyDescent="0.25">
      <c r="B21" t="s">
        <v>18</v>
      </c>
      <c r="C21" s="8">
        <f>data!E22</f>
        <v>0.5</v>
      </c>
      <c r="D21" s="8">
        <f>C21</f>
        <v>0.5</v>
      </c>
      <c r="E21" s="8">
        <f t="shared" ref="E21:F21" si="11">D21</f>
        <v>0.5</v>
      </c>
      <c r="F21" s="8">
        <f t="shared" si="11"/>
        <v>0.5</v>
      </c>
    </row>
    <row r="22" spans="2:6" x14ac:dyDescent="0.25">
      <c r="B22" t="s">
        <v>19</v>
      </c>
      <c r="C22" s="8">
        <f>data!E23</f>
        <v>0.25</v>
      </c>
      <c r="D22" s="8">
        <f>C22</f>
        <v>0.25</v>
      </c>
      <c r="E22" s="8">
        <f t="shared" ref="E22:F22" si="12">D22</f>
        <v>0.25</v>
      </c>
      <c r="F22" s="8">
        <f t="shared" si="12"/>
        <v>0.25</v>
      </c>
    </row>
    <row r="23" spans="2:6" x14ac:dyDescent="0.25">
      <c r="B23" t="s">
        <v>83</v>
      </c>
      <c r="C23" s="7">
        <f>C20*C21</f>
        <v>2154.6296296296296</v>
      </c>
      <c r="D23" s="7">
        <f t="shared" ref="D23:F23" si="13">D20*D21</f>
        <v>2277.4074074074074</v>
      </c>
      <c r="E23" s="7">
        <f t="shared" si="13"/>
        <v>2391.2777777777778</v>
      </c>
      <c r="F23" s="7">
        <f t="shared" si="13"/>
        <v>2877.1166666666668</v>
      </c>
    </row>
    <row r="24" spans="2:6" x14ac:dyDescent="0.25">
      <c r="B24" t="s">
        <v>84</v>
      </c>
      <c r="C24" s="7">
        <f>C20*C22</f>
        <v>1077.3148148148148</v>
      </c>
      <c r="D24" s="7">
        <f t="shared" ref="D24:F24" si="14">D20*D22</f>
        <v>1138.7037037037037</v>
      </c>
      <c r="E24" s="7">
        <f t="shared" si="14"/>
        <v>1195.6388888888889</v>
      </c>
      <c r="F24" s="7">
        <f t="shared" si="14"/>
        <v>1438.5583333333334</v>
      </c>
    </row>
    <row r="25" spans="2:6" x14ac:dyDescent="0.25">
      <c r="B25" t="s">
        <v>16</v>
      </c>
      <c r="C25">
        <f>data!E24</f>
        <v>2</v>
      </c>
      <c r="D25">
        <f>C25</f>
        <v>2</v>
      </c>
      <c r="E25">
        <f t="shared" ref="E25:F25" si="15">D25</f>
        <v>2</v>
      </c>
      <c r="F25">
        <f t="shared" si="15"/>
        <v>2</v>
      </c>
    </row>
    <row r="26" spans="2:6" x14ac:dyDescent="0.25">
      <c r="B26" t="s">
        <v>17</v>
      </c>
      <c r="C26">
        <f>C14</f>
        <v>0.25</v>
      </c>
      <c r="D26">
        <f>C26</f>
        <v>0.25</v>
      </c>
      <c r="E26">
        <f t="shared" ref="E26:F26" si="16">D26</f>
        <v>0.25</v>
      </c>
      <c r="F26">
        <f t="shared" si="16"/>
        <v>0.25</v>
      </c>
    </row>
    <row r="27" spans="2:6" x14ac:dyDescent="0.25">
      <c r="B27" t="s">
        <v>85</v>
      </c>
      <c r="C27" s="7">
        <f>C18/C25*C26</f>
        <v>6463.8888888888887</v>
      </c>
      <c r="D27" s="7">
        <f t="shared" ref="D27:F27" si="17">D18/D25*D26</f>
        <v>6832.2222222222226</v>
      </c>
      <c r="E27" s="7">
        <f t="shared" si="17"/>
        <v>7173.833333333333</v>
      </c>
      <c r="F27" s="7">
        <f t="shared" si="17"/>
        <v>8631.35</v>
      </c>
    </row>
    <row r="28" spans="2:6" x14ac:dyDescent="0.25">
      <c r="B28" s="3" t="s">
        <v>7</v>
      </c>
    </row>
    <row r="29" spans="2:6" x14ac:dyDescent="0.25">
      <c r="B29" t="s">
        <v>71</v>
      </c>
      <c r="C29" s="7">
        <f>production!C22</f>
        <v>67622.222222222219</v>
      </c>
      <c r="D29" s="7">
        <f>production!D22</f>
        <v>71475.555555555562</v>
      </c>
      <c r="E29" s="7">
        <f>production!E22</f>
        <v>75049.333333333328</v>
      </c>
      <c r="F29" s="7">
        <f>production!F22</f>
        <v>90297.2</v>
      </c>
    </row>
    <row r="30" spans="2:6" x14ac:dyDescent="0.25">
      <c r="B30" t="s">
        <v>15</v>
      </c>
      <c r="C30">
        <f>data!F21</f>
        <v>4</v>
      </c>
      <c r="D30">
        <f>C30</f>
        <v>4</v>
      </c>
      <c r="E30">
        <f t="shared" ref="E30:F30" si="18">D30</f>
        <v>4</v>
      </c>
      <c r="F30">
        <f t="shared" si="18"/>
        <v>4</v>
      </c>
    </row>
    <row r="31" spans="2:6" x14ac:dyDescent="0.25">
      <c r="B31" t="s">
        <v>82</v>
      </c>
      <c r="C31" s="7">
        <f>C29/C30</f>
        <v>16905.555555555555</v>
      </c>
      <c r="D31" s="7">
        <f t="shared" ref="D31:F31" si="19">D29/D30</f>
        <v>17868.888888888891</v>
      </c>
      <c r="E31" s="7">
        <f t="shared" si="19"/>
        <v>18762.333333333332</v>
      </c>
      <c r="F31" s="7">
        <f t="shared" si="19"/>
        <v>22574.3</v>
      </c>
    </row>
    <row r="32" spans="2:6" x14ac:dyDescent="0.25">
      <c r="B32" t="s">
        <v>18</v>
      </c>
      <c r="C32">
        <f>data!F22</f>
        <v>0.5</v>
      </c>
      <c r="D32">
        <f>C32</f>
        <v>0.5</v>
      </c>
      <c r="E32">
        <f t="shared" ref="E32:F32" si="20">D32</f>
        <v>0.5</v>
      </c>
      <c r="F32">
        <f t="shared" si="20"/>
        <v>0.5</v>
      </c>
    </row>
    <row r="33" spans="2:6" x14ac:dyDescent="0.25">
      <c r="B33" t="s">
        <v>19</v>
      </c>
      <c r="C33">
        <f>data!F23</f>
        <v>0.25</v>
      </c>
      <c r="D33">
        <f>C33</f>
        <v>0.25</v>
      </c>
      <c r="E33">
        <f t="shared" ref="E33:F33" si="21">D33</f>
        <v>0.25</v>
      </c>
      <c r="F33">
        <f t="shared" si="21"/>
        <v>0.25</v>
      </c>
    </row>
    <row r="34" spans="2:6" x14ac:dyDescent="0.25">
      <c r="B34" t="s">
        <v>83</v>
      </c>
      <c r="C34" s="7">
        <f>C31*C32</f>
        <v>8452.7777777777774</v>
      </c>
      <c r="D34" s="7">
        <f t="shared" ref="D34:F34" si="22">D31*D32</f>
        <v>8934.4444444444453</v>
      </c>
      <c r="E34" s="7">
        <f t="shared" si="22"/>
        <v>9381.1666666666661</v>
      </c>
      <c r="F34" s="7">
        <f t="shared" si="22"/>
        <v>11287.15</v>
      </c>
    </row>
    <row r="35" spans="2:6" x14ac:dyDescent="0.25">
      <c r="B35" t="s">
        <v>84</v>
      </c>
      <c r="C35" s="7">
        <f>C31*C33</f>
        <v>4226.3888888888887</v>
      </c>
      <c r="D35" s="7">
        <f t="shared" ref="D35:F35" si="23">D31*D33</f>
        <v>4467.2222222222226</v>
      </c>
      <c r="E35" s="7">
        <f t="shared" si="23"/>
        <v>4690.583333333333</v>
      </c>
      <c r="F35" s="7">
        <f t="shared" si="23"/>
        <v>5643.5749999999998</v>
      </c>
    </row>
    <row r="36" spans="2:6" x14ac:dyDescent="0.25">
      <c r="B36" t="s">
        <v>16</v>
      </c>
      <c r="C36">
        <f>data!F24</f>
        <v>8</v>
      </c>
      <c r="D36">
        <f>C36</f>
        <v>8</v>
      </c>
      <c r="E36">
        <f t="shared" ref="E36:F36" si="24">D36</f>
        <v>8</v>
      </c>
      <c r="F36">
        <f t="shared" si="24"/>
        <v>8</v>
      </c>
    </row>
    <row r="37" spans="2:6" x14ac:dyDescent="0.25">
      <c r="B37" t="s">
        <v>17</v>
      </c>
      <c r="C37">
        <f>C26</f>
        <v>0.25</v>
      </c>
      <c r="D37">
        <f>C37</f>
        <v>0.25</v>
      </c>
      <c r="E37">
        <f t="shared" ref="E37:F37" si="25">D37</f>
        <v>0.25</v>
      </c>
      <c r="F37">
        <f t="shared" si="25"/>
        <v>0.25</v>
      </c>
    </row>
    <row r="38" spans="2:6" x14ac:dyDescent="0.25">
      <c r="B38" t="s">
        <v>85</v>
      </c>
      <c r="C38" s="7">
        <f>C29/C36*C37</f>
        <v>2113.1944444444443</v>
      </c>
      <c r="D38" s="7">
        <f t="shared" ref="D38:F38" si="26">D29/D36*D37</f>
        <v>2233.6111111111113</v>
      </c>
      <c r="E38" s="7">
        <f t="shared" si="26"/>
        <v>2345.2916666666665</v>
      </c>
      <c r="F38" s="7">
        <f t="shared" si="26"/>
        <v>2821.7874999999999</v>
      </c>
    </row>
    <row r="40" spans="2:6" x14ac:dyDescent="0.25">
      <c r="B40" t="s">
        <v>83</v>
      </c>
      <c r="C40" s="7">
        <f>C11+C23+C34</f>
        <v>12744.907407407407</v>
      </c>
      <c r="D40" s="7">
        <f t="shared" ref="D40:F40" si="27">D11+D23+D34</f>
        <v>13471.851851851852</v>
      </c>
      <c r="E40" s="7">
        <f t="shared" si="27"/>
        <v>14145.444444444443</v>
      </c>
      <c r="F40" s="7">
        <f t="shared" si="27"/>
        <v>17019.741666666669</v>
      </c>
    </row>
    <row r="41" spans="2:6" x14ac:dyDescent="0.25">
      <c r="B41" t="s">
        <v>84</v>
      </c>
      <c r="C41" s="7">
        <f>C12+C24+C35</f>
        <v>6372.4537037037035</v>
      </c>
      <c r="D41" s="7">
        <f t="shared" ref="D41:F41" si="28">D12+D24+D35</f>
        <v>6735.9259259259261</v>
      </c>
      <c r="E41" s="7">
        <f t="shared" si="28"/>
        <v>7072.7222222222217</v>
      </c>
      <c r="F41" s="7">
        <f t="shared" si="28"/>
        <v>8509.8708333333343</v>
      </c>
    </row>
    <row r="42" spans="2:6" x14ac:dyDescent="0.25">
      <c r="B42" t="s">
        <v>86</v>
      </c>
      <c r="C42" s="7">
        <f>C15+C27+C38</f>
        <v>17127.083333333332</v>
      </c>
      <c r="D42" s="7">
        <f t="shared" ref="D42:F42" si="29">D15+D27+D38</f>
        <v>18105.833333333336</v>
      </c>
      <c r="E42" s="7">
        <f t="shared" si="29"/>
        <v>19011.125</v>
      </c>
      <c r="F42" s="7">
        <f t="shared" si="29"/>
        <v>22875.037499999999</v>
      </c>
    </row>
    <row r="43" spans="2:6" x14ac:dyDescent="0.25">
      <c r="B43" s="3" t="s">
        <v>87</v>
      </c>
      <c r="C43" s="12">
        <f>SUM(C40:C42)</f>
        <v>36244.444444444438</v>
      </c>
      <c r="D43" s="12">
        <f t="shared" ref="D43:F43" si="30">SUM(D40:D42)</f>
        <v>38313.611111111109</v>
      </c>
      <c r="E43" s="12">
        <f t="shared" si="30"/>
        <v>40229.291666666664</v>
      </c>
      <c r="F43" s="12">
        <f t="shared" si="30"/>
        <v>48404.65</v>
      </c>
    </row>
    <row r="44" spans="2:6" x14ac:dyDescent="0.25">
      <c r="B44" s="3" t="s">
        <v>88</v>
      </c>
    </row>
    <row r="45" spans="2:6" x14ac:dyDescent="0.25">
      <c r="B45" t="s">
        <v>89</v>
      </c>
      <c r="C45" s="2">
        <f>data!D28</f>
        <v>8</v>
      </c>
      <c r="D45" s="2">
        <f>C45</f>
        <v>8</v>
      </c>
      <c r="E45" s="2">
        <f t="shared" ref="E45:F45" si="31">D45</f>
        <v>8</v>
      </c>
      <c r="F45" s="2">
        <f t="shared" si="31"/>
        <v>8</v>
      </c>
    </row>
    <row r="46" spans="2:6" x14ac:dyDescent="0.25">
      <c r="B46" t="s">
        <v>90</v>
      </c>
      <c r="C46" s="1">
        <f>data!D27</f>
        <v>7.5</v>
      </c>
      <c r="D46" s="1">
        <f t="shared" ref="D46:F47" si="32">C46</f>
        <v>7.5</v>
      </c>
      <c r="E46" s="1">
        <f t="shared" si="32"/>
        <v>7.5</v>
      </c>
      <c r="F46" s="1">
        <f t="shared" si="32"/>
        <v>7.5</v>
      </c>
    </row>
    <row r="47" spans="2:6" x14ac:dyDescent="0.25">
      <c r="B47" t="s">
        <v>91</v>
      </c>
      <c r="C47" s="1">
        <f>data!D29</f>
        <v>6.5</v>
      </c>
      <c r="D47" s="1">
        <f t="shared" si="32"/>
        <v>6.5</v>
      </c>
      <c r="E47" s="1">
        <f t="shared" si="32"/>
        <v>6.5</v>
      </c>
      <c r="F47" s="1">
        <f t="shared" si="32"/>
        <v>6.5</v>
      </c>
    </row>
    <row r="48" spans="2:6" x14ac:dyDescent="0.25">
      <c r="B48" s="3" t="s">
        <v>92</v>
      </c>
      <c r="C48" s="11">
        <f>(C40*C45)+(C41*C46)+(C42*C47)</f>
        <v>261078.70370370368</v>
      </c>
      <c r="D48" s="11">
        <f t="shared" ref="D48:F48" si="33">(D40*D45)+(D41*D46)+(D42*D47)</f>
        <v>275982.17592592596</v>
      </c>
      <c r="E48" s="11">
        <f t="shared" si="33"/>
        <v>289781.28472222225</v>
      </c>
      <c r="F48" s="11">
        <f t="shared" si="33"/>
        <v>348669.70833333337</v>
      </c>
    </row>
  </sheetData>
  <mergeCells count="2">
    <mergeCell ref="B2:F2"/>
    <mergeCell ref="C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workbookViewId="0">
      <selection activeCell="F22" sqref="F22"/>
    </sheetView>
  </sheetViews>
  <sheetFormatPr defaultRowHeight="15" x14ac:dyDescent="0.25"/>
  <cols>
    <col min="2" max="2" width="36.375" customWidth="1"/>
    <col min="3" max="9" width="13.625" customWidth="1"/>
  </cols>
  <sheetData>
    <row r="2" spans="2:6" x14ac:dyDescent="0.25">
      <c r="B2" s="10" t="s">
        <v>93</v>
      </c>
      <c r="C2" s="10"/>
      <c r="D2" s="10"/>
      <c r="E2" s="10"/>
      <c r="F2" s="10"/>
    </row>
    <row r="3" spans="2:6" x14ac:dyDescent="0.25">
      <c r="C3" s="10">
        <v>2015</v>
      </c>
      <c r="D3" s="10"/>
      <c r="E3" s="10"/>
      <c r="F3" s="10"/>
    </row>
    <row r="4" spans="2:6" x14ac:dyDescent="0.25">
      <c r="C4" s="6" t="s">
        <v>1</v>
      </c>
      <c r="D4" s="6" t="s">
        <v>2</v>
      </c>
      <c r="E4" s="6" t="s">
        <v>3</v>
      </c>
      <c r="F4" s="6" t="s">
        <v>0</v>
      </c>
    </row>
    <row r="5" spans="2:6" x14ac:dyDescent="0.25">
      <c r="B5" t="s">
        <v>94</v>
      </c>
      <c r="C5">
        <v>40000</v>
      </c>
      <c r="D5">
        <f>C23</f>
        <v>40000</v>
      </c>
      <c r="E5">
        <f t="shared" ref="E5:F5" si="0">D23</f>
        <v>40000</v>
      </c>
      <c r="F5">
        <f t="shared" si="0"/>
        <v>40000</v>
      </c>
    </row>
    <row r="6" spans="2:6" x14ac:dyDescent="0.25">
      <c r="B6" t="s">
        <v>95</v>
      </c>
      <c r="C6" s="2">
        <f>collection!C12</f>
        <v>1003625</v>
      </c>
      <c r="D6" s="2">
        <f>collection!D12</f>
        <v>765600</v>
      </c>
      <c r="E6" s="2">
        <f>collection!E12</f>
        <v>1023880</v>
      </c>
      <c r="F6" s="2">
        <f>collection!F12</f>
        <v>1133286</v>
      </c>
    </row>
    <row r="7" spans="2:6" x14ac:dyDescent="0.25">
      <c r="B7" t="s">
        <v>104</v>
      </c>
      <c r="C7" s="2"/>
      <c r="D7" s="2"/>
      <c r="E7" s="2">
        <v>400000</v>
      </c>
      <c r="F7" s="2"/>
    </row>
    <row r="8" spans="2:6" x14ac:dyDescent="0.25">
      <c r="B8" s="3" t="s">
        <v>96</v>
      </c>
      <c r="C8" s="4">
        <f>C5+C6+C7</f>
        <v>1043625</v>
      </c>
      <c r="D8" s="4">
        <f t="shared" ref="D8:F8" si="1">D5+D6+D7</f>
        <v>805600</v>
      </c>
      <c r="E8" s="4">
        <f t="shared" si="1"/>
        <v>1463880</v>
      </c>
      <c r="F8" s="4">
        <f t="shared" si="1"/>
        <v>1173286</v>
      </c>
    </row>
    <row r="9" spans="2:6" x14ac:dyDescent="0.25">
      <c r="B9" s="3" t="s">
        <v>97</v>
      </c>
    </row>
    <row r="10" spans="2:6" x14ac:dyDescent="0.25">
      <c r="B10" t="s">
        <v>98</v>
      </c>
      <c r="C10" s="2">
        <f>'payment to ap'!C9</f>
        <v>208476.9</v>
      </c>
      <c r="D10" s="2">
        <f>'payment to ap'!D9</f>
        <v>218122.82</v>
      </c>
      <c r="E10" s="2">
        <f>'payment to ap'!E9</f>
        <v>229249.08600000001</v>
      </c>
      <c r="F10" s="2">
        <f>'payment to ap'!F9</f>
        <v>270779.75819999998</v>
      </c>
    </row>
    <row r="11" spans="2:6" x14ac:dyDescent="0.25">
      <c r="B11" t="s">
        <v>99</v>
      </c>
      <c r="C11" s="2">
        <f>'labor budget'!C48</f>
        <v>261078.70370370368</v>
      </c>
      <c r="D11" s="2">
        <f>'labor budget'!D48</f>
        <v>275982.17592592596</v>
      </c>
      <c r="E11" s="2">
        <f>'labor budget'!E48</f>
        <v>289781.28472222225</v>
      </c>
      <c r="F11" s="2">
        <f>'labor budget'!F48</f>
        <v>348669.70833333337</v>
      </c>
    </row>
    <row r="12" spans="2:6" x14ac:dyDescent="0.25">
      <c r="B12" t="s">
        <v>100</v>
      </c>
      <c r="C12" s="7">
        <f>1.5*'labor budget'!C43</f>
        <v>54366.666666666657</v>
      </c>
      <c r="D12" s="7">
        <f>1.5*'labor budget'!D43</f>
        <v>57470.416666666664</v>
      </c>
      <c r="E12" s="7">
        <f>1.5*'labor budget'!E43</f>
        <v>60343.9375</v>
      </c>
      <c r="F12" s="7">
        <f>1.5*'labor budget'!F43</f>
        <v>72606.975000000006</v>
      </c>
    </row>
    <row r="13" spans="2:6" x14ac:dyDescent="0.25">
      <c r="B13" t="s">
        <v>101</v>
      </c>
      <c r="C13">
        <v>160000</v>
      </c>
      <c r="D13">
        <v>160000</v>
      </c>
      <c r="E13">
        <v>160000</v>
      </c>
      <c r="F13">
        <v>160000</v>
      </c>
    </row>
    <row r="14" spans="2:6" x14ac:dyDescent="0.25">
      <c r="B14" t="s">
        <v>102</v>
      </c>
      <c r="C14">
        <v>200800</v>
      </c>
      <c r="D14">
        <v>200800</v>
      </c>
      <c r="E14">
        <v>200800</v>
      </c>
      <c r="F14">
        <v>200800</v>
      </c>
    </row>
    <row r="15" spans="2:6" x14ac:dyDescent="0.25">
      <c r="B15" t="s">
        <v>39</v>
      </c>
      <c r="C15">
        <v>20000</v>
      </c>
      <c r="D15">
        <v>20000</v>
      </c>
      <c r="E15">
        <v>20000</v>
      </c>
      <c r="F15">
        <v>20000</v>
      </c>
    </row>
    <row r="16" spans="2:6" x14ac:dyDescent="0.25">
      <c r="B16" t="s">
        <v>44</v>
      </c>
      <c r="C16">
        <f>16500/4</f>
        <v>4125</v>
      </c>
      <c r="D16">
        <f t="shared" ref="D16:F16" si="2">16500/4</f>
        <v>4125</v>
      </c>
      <c r="E16">
        <f t="shared" si="2"/>
        <v>4125</v>
      </c>
      <c r="F16">
        <f t="shared" si="2"/>
        <v>4125</v>
      </c>
    </row>
    <row r="17" spans="2:6" x14ac:dyDescent="0.25">
      <c r="B17" t="s">
        <v>103</v>
      </c>
      <c r="C17">
        <v>25000</v>
      </c>
      <c r="D17">
        <v>25000</v>
      </c>
      <c r="E17">
        <v>25000</v>
      </c>
      <c r="F17">
        <v>25000</v>
      </c>
    </row>
    <row r="18" spans="2:6" x14ac:dyDescent="0.25">
      <c r="B18" t="s">
        <v>105</v>
      </c>
      <c r="C18">
        <v>75000</v>
      </c>
      <c r="D18">
        <v>100000</v>
      </c>
      <c r="E18">
        <v>50000</v>
      </c>
      <c r="F18">
        <v>35000</v>
      </c>
    </row>
    <row r="19" spans="2:6" x14ac:dyDescent="0.25">
      <c r="B19" s="3" t="s">
        <v>106</v>
      </c>
      <c r="C19" s="4">
        <f>SUM(C10:C18)</f>
        <v>1008847.2703703704</v>
      </c>
      <c r="D19" s="4">
        <f t="shared" ref="D19:F19" si="3">SUM(D10:D18)</f>
        <v>1061500.4125925926</v>
      </c>
      <c r="E19" s="4">
        <f t="shared" si="3"/>
        <v>1039299.3082222223</v>
      </c>
      <c r="F19" s="4">
        <f t="shared" si="3"/>
        <v>1136981.4415333332</v>
      </c>
    </row>
    <row r="20" spans="2:6" x14ac:dyDescent="0.25">
      <c r="B20" t="s">
        <v>107</v>
      </c>
      <c r="C20" s="2">
        <f>C8-C19</f>
        <v>34777.729629629641</v>
      </c>
      <c r="D20" s="2">
        <f t="shared" ref="D20:F20" si="4">D8-D19</f>
        <v>-255900.41259259265</v>
      </c>
      <c r="E20" s="2">
        <f t="shared" si="4"/>
        <v>424580.69177777774</v>
      </c>
      <c r="F20" s="2">
        <f t="shared" si="4"/>
        <v>36304.558466666844</v>
      </c>
    </row>
    <row r="21" spans="2:6" x14ac:dyDescent="0.25">
      <c r="B21" t="s">
        <v>108</v>
      </c>
      <c r="C21" s="2">
        <f>C23-C20</f>
        <v>5222.2703703703592</v>
      </c>
      <c r="D21" s="2">
        <f>D23-D20</f>
        <v>295900.41259259265</v>
      </c>
      <c r="E21" s="2">
        <f>-(E20-E22-E23)</f>
        <v>-369789.12670940167</v>
      </c>
      <c r="F21" s="2">
        <f>F23-F20</f>
        <v>3695.4415333331563</v>
      </c>
    </row>
    <row r="22" spans="2:6" x14ac:dyDescent="0.25">
      <c r="B22" t="s">
        <v>109</v>
      </c>
      <c r="E22" s="7">
        <f>(E20-E23)*4/104</f>
        <v>14791.565068376067</v>
      </c>
    </row>
    <row r="23" spans="2:6" x14ac:dyDescent="0.25">
      <c r="B23" t="s">
        <v>110</v>
      </c>
      <c r="C23">
        <v>40000</v>
      </c>
      <c r="D23">
        <v>40000</v>
      </c>
      <c r="E23">
        <v>40000</v>
      </c>
      <c r="F23">
        <v>40000</v>
      </c>
    </row>
  </sheetData>
  <mergeCells count="2">
    <mergeCell ref="B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</vt:lpstr>
      <vt:lpstr>sales</vt:lpstr>
      <vt:lpstr>collection</vt:lpstr>
      <vt:lpstr>production</vt:lpstr>
      <vt:lpstr>purchase budget</vt:lpstr>
      <vt:lpstr>payment to ap</vt:lpstr>
      <vt:lpstr>labor budget</vt:lpstr>
      <vt:lpstr>cash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 Gray</dc:creator>
  <cp:lastModifiedBy>Terence Gray</cp:lastModifiedBy>
  <dcterms:created xsi:type="dcterms:W3CDTF">2016-10-12T16:16:54Z</dcterms:created>
  <dcterms:modified xsi:type="dcterms:W3CDTF">2016-10-13T14:53:00Z</dcterms:modified>
</cp:coreProperties>
</file>